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</externalReferences>
  <definedNames>
    <definedName name="_C111">TH!$Q$10:$Q$3425</definedName>
    <definedName name="_C112">TH!$T$10:$T$3425</definedName>
    <definedName name="_Fill" localSheetId="6" hidden="1">#REF!</definedName>
    <definedName name="_Fill" localSheetId="12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'111'!$A$12:$J$126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BTGT!$A$458:$AA$525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TH!$A$9:$AB$3304</definedName>
    <definedName name="_xlnm._FilterDatabase" localSheetId="15" hidden="1">TK!$A$1:$J$1</definedName>
    <definedName name="_M">TH!$B$10:$B$3425</definedName>
    <definedName name="_N111">TH!$P$10:$P$3425</definedName>
    <definedName name="_N112">TH!$S$10:$S$3425</definedName>
    <definedName name="_TM1">IF('IN-TC'!$S$4=1,1,IF('IN-TC'!$S$4=2,4,IF('IN-TC'!$S$4=3,7,10)))</definedName>
    <definedName name="_TM2">IF('IN-TC'!$S$4=1,3,IF('IN-TC'!$S$4=2,6,IF('IN-TC'!$S$4=3,9,12)))</definedName>
    <definedName name="DG">TH!$J$10:$J$3425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BTGT!$B$6:$K$191</definedName>
    <definedName name="DSSP2">BTGT!$B$199:$K$370</definedName>
    <definedName name="DSSP3">BTGT!$B$378:$K$451</definedName>
    <definedName name="DSSP4">BTGT!$B$459:$K$522</definedName>
    <definedName name="DSTK">CDPS!$A$10:$D$54</definedName>
    <definedName name="DSTS1">'SO-TS'!$D$14:$D$17</definedName>
    <definedName name="DSTS2">'SO-TS'!$D$48:$D$49</definedName>
    <definedName name="KH">TH!$H$10:$H$3425</definedName>
    <definedName name="KHC">TH!$M$10:$M$3425</definedName>
    <definedName name="KHN">TH!$L$10:$L$3425</definedName>
    <definedName name="Loai">OFFSET(TH!$N$5,,,COUNTA(TH!$N$5:$N$41735))</definedName>
    <definedName name="Loai1">OFFSET(TH!$O$5,,,COUNTA(TH!$O$5:$O$41735))</definedName>
    <definedName name="Loai2">OFFSET(TH!$R$5,,,COUNTA(TH!$R$5:$R$41735))</definedName>
    <definedName name="Loai3">OFFSET('SO-TS'!$P$14,,,COUNTA('SO-TS'!$P$14:$P$3919))</definedName>
    <definedName name="Loai4">OFFSET(TH!$U$5,,,COUNTA(TH!$U$5:$U$41735))</definedName>
    <definedName name="Loai5">OFFSET(TH!$V$5,,,COUNTA(TH!$V$5:$V$41735))</definedName>
    <definedName name="Loai6">OFFSET(TH!$Z$5,,,COUNTA(TH!$Z$5:$Z$41735))</definedName>
    <definedName name="Loai7">OFFSET(TH!$W$5,,,COUNTA(TH!$W$5:$W$41735))</definedName>
    <definedName name="Loai8">OFFSET(TH!$X$5,,,COUNTA(TH!$X$5:$X$41735))</definedName>
    <definedName name="Loai9">OFFSET(TH!$Y$5,,,COUNTA(TH!$Y$5:$Y$41735))</definedName>
    <definedName name="MH">TH!$F$10:$F$3425</definedName>
    <definedName name="NXT">NXT!$A$12:$A$911</definedName>
    <definedName name="_xlnm.Print_Area" localSheetId="4">'111'!$A$1:$J$139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'331-CT'!$A$1:$J$83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8">'SO-TS'!$9:$12</definedName>
    <definedName name="SL">TH!$I$10:$I$3425</definedName>
    <definedName name="TH">TH!$K$10:$K$3425</definedName>
    <definedName name="TM">TH!$A$10:$M$3425</definedName>
  </definedNames>
  <calcPr calcId="144525"/>
</workbook>
</file>

<file path=xl/calcChain.xml><?xml version="1.0" encoding="utf-8"?>
<calcChain xmlns="http://schemas.openxmlformats.org/spreadsheetml/2006/main">
  <c r="K3239" i="34" l="1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D57" i="15" l="1"/>
  <c r="N20" i="34" l="1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X27" i="34"/>
  <c r="Y27" i="34"/>
  <c r="N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X335" i="34"/>
  <c r="Y335" i="34"/>
  <c r="N336" i="34"/>
  <c r="X336" i="34"/>
  <c r="Y336" i="34"/>
  <c r="N337" i="34"/>
  <c r="X337" i="34"/>
  <c r="Y337" i="34"/>
  <c r="N338" i="34"/>
  <c r="R338" i="34"/>
  <c r="S338" i="34"/>
  <c r="T338" i="34"/>
  <c r="X338" i="34"/>
  <c r="Y338" i="34"/>
  <c r="N339" i="34"/>
  <c r="X339" i="34"/>
  <c r="Y339" i="34"/>
  <c r="N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X357" i="34"/>
  <c r="Y357" i="34"/>
  <c r="N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X501" i="34"/>
  <c r="Y501" i="34"/>
  <c r="N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X708" i="34"/>
  <c r="Y708" i="34"/>
  <c r="N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X844" i="34"/>
  <c r="Y844" i="34"/>
  <c r="N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X983" i="34"/>
  <c r="Y983" i="34"/>
  <c r="N984" i="34"/>
  <c r="X984" i="34"/>
  <c r="Y984" i="34"/>
  <c r="N985" i="34"/>
  <c r="X985" i="34"/>
  <c r="Y985" i="34"/>
  <c r="N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X1026" i="34"/>
  <c r="Y1026" i="34"/>
  <c r="N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X1051" i="34"/>
  <c r="Y1051" i="34"/>
  <c r="N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N1115" i="34"/>
  <c r="X1115" i="34"/>
  <c r="Y1115" i="34"/>
  <c r="N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X1143" i="34"/>
  <c r="Y1143" i="34"/>
  <c r="N1144" i="34"/>
  <c r="X1144" i="34"/>
  <c r="Y1144" i="34"/>
  <c r="N1145" i="34"/>
  <c r="X1145" i="34"/>
  <c r="Y1145" i="34"/>
  <c r="N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X1197" i="34"/>
  <c r="Y1197" i="34"/>
  <c r="N1198" i="34"/>
  <c r="X1198" i="34"/>
  <c r="Y1198" i="34"/>
  <c r="N1199" i="34"/>
  <c r="X1199" i="34"/>
  <c r="Y1199" i="34"/>
  <c r="N1200" i="34"/>
  <c r="X1200" i="34"/>
  <c r="Y1200" i="34"/>
  <c r="N1201" i="34"/>
  <c r="X1201" i="34"/>
  <c r="Y1201" i="34"/>
  <c r="N1202" i="34"/>
  <c r="X1202" i="34"/>
  <c r="Y1202" i="34"/>
  <c r="N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X1238" i="34"/>
  <c r="Y1238" i="34"/>
  <c r="N1239" i="34"/>
  <c r="X1239" i="34"/>
  <c r="Y1239" i="34"/>
  <c r="N1240" i="34"/>
  <c r="X1240" i="34"/>
  <c r="Y1240" i="34"/>
  <c r="N1241" i="34"/>
  <c r="X1241" i="34"/>
  <c r="Y1241" i="34"/>
  <c r="N1242" i="34"/>
  <c r="X1242" i="34"/>
  <c r="Y1242" i="34"/>
  <c r="N1243" i="34"/>
  <c r="X1243" i="34"/>
  <c r="Y1243" i="34"/>
  <c r="N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X1255" i="34"/>
  <c r="Y1255" i="34"/>
  <c r="N1256" i="34"/>
  <c r="X1256" i="34"/>
  <c r="Y1256" i="34"/>
  <c r="N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X1274" i="34"/>
  <c r="Y1274" i="34"/>
  <c r="N1275" i="34"/>
  <c r="X1275" i="34"/>
  <c r="Y1275" i="34"/>
  <c r="N1276" i="34"/>
  <c r="X1276" i="34"/>
  <c r="Y1276" i="34"/>
  <c r="N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X1317" i="34"/>
  <c r="Y1317" i="34"/>
  <c r="N1318" i="34"/>
  <c r="X1318" i="34"/>
  <c r="Y1318" i="34"/>
  <c r="N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X1351" i="34"/>
  <c r="Y1351" i="34"/>
  <c r="N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X1365" i="34"/>
  <c r="Y1365" i="34"/>
  <c r="N1366" i="34"/>
  <c r="X1366" i="34"/>
  <c r="Y1366" i="34"/>
  <c r="N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X1379" i="34"/>
  <c r="Y1379" i="34"/>
  <c r="N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X1417" i="34"/>
  <c r="Y1417" i="34"/>
  <c r="N1418" i="34"/>
  <c r="X1418" i="34"/>
  <c r="Y1418" i="34"/>
  <c r="N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X1437" i="34"/>
  <c r="Y1437" i="34"/>
  <c r="N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N1459" i="34"/>
  <c r="X1459" i="34"/>
  <c r="Y1459" i="34"/>
  <c r="N1460" i="34"/>
  <c r="X1460" i="34"/>
  <c r="Y1460" i="34"/>
  <c r="N1461" i="34"/>
  <c r="X1461" i="34"/>
  <c r="Y1461" i="34"/>
  <c r="N1462" i="34"/>
  <c r="X1462" i="34"/>
  <c r="Y1462" i="34"/>
  <c r="N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X1516" i="34"/>
  <c r="Y1516" i="34"/>
  <c r="N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X1527" i="34"/>
  <c r="Y1527" i="34"/>
  <c r="N1528" i="34"/>
  <c r="X1528" i="34"/>
  <c r="Y1528" i="34"/>
  <c r="N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X1551" i="34"/>
  <c r="Y1551" i="34"/>
  <c r="N1552" i="34"/>
  <c r="X1552" i="34"/>
  <c r="Y1552" i="34"/>
  <c r="N1553" i="34"/>
  <c r="X1553" i="34"/>
  <c r="Y1553" i="34"/>
  <c r="N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X1557" i="34"/>
  <c r="Y1557" i="34"/>
  <c r="N1558" i="34"/>
  <c r="X1558" i="34"/>
  <c r="Y1558" i="34"/>
  <c r="N1559" i="34"/>
  <c r="X1559" i="34"/>
  <c r="Y1559" i="34"/>
  <c r="N1560" i="34"/>
  <c r="X1560" i="34"/>
  <c r="Y1560" i="34"/>
  <c r="N1561" i="34"/>
  <c r="X1561" i="34"/>
  <c r="Y1561" i="34"/>
  <c r="N1562" i="34"/>
  <c r="X1562" i="34"/>
  <c r="Y1562" i="34"/>
  <c r="N1563" i="34"/>
  <c r="X1563" i="34"/>
  <c r="Y1563" i="34"/>
  <c r="N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X1586" i="34"/>
  <c r="Y1586" i="34"/>
  <c r="N1587" i="34"/>
  <c r="X1587" i="34"/>
  <c r="Y1587" i="34"/>
  <c r="N1588" i="34"/>
  <c r="X1588" i="34"/>
  <c r="Y1588" i="34"/>
  <c r="N1589" i="34"/>
  <c r="X1589" i="34"/>
  <c r="Y1589" i="34"/>
  <c r="N1590" i="34"/>
  <c r="X1590" i="34"/>
  <c r="Y1590" i="34"/>
  <c r="N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6" i="34"/>
  <c r="X1626" i="34"/>
  <c r="Y1626" i="34"/>
  <c r="N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X1640" i="34"/>
  <c r="Y1640" i="34"/>
  <c r="N1641" i="34"/>
  <c r="X1641" i="34"/>
  <c r="Y1641" i="34"/>
  <c r="N1642" i="34"/>
  <c r="X1642" i="34"/>
  <c r="Y1642" i="34"/>
  <c r="N1643" i="34"/>
  <c r="X1643" i="34"/>
  <c r="Y1643" i="34"/>
  <c r="N1644" i="34"/>
  <c r="X1644" i="34"/>
  <c r="Y1644" i="34"/>
  <c r="N1645" i="34"/>
  <c r="X1645" i="34"/>
  <c r="Y1645" i="34"/>
  <c r="N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X1667" i="34"/>
  <c r="Y1667" i="34"/>
  <c r="N1668" i="34"/>
  <c r="X1668" i="34"/>
  <c r="Y1668" i="34"/>
  <c r="N1669" i="34"/>
  <c r="X1669" i="34"/>
  <c r="Y1669" i="34"/>
  <c r="N1670" i="34"/>
  <c r="X1670" i="34"/>
  <c r="Y1670" i="34"/>
  <c r="N1671" i="34"/>
  <c r="X1671" i="34"/>
  <c r="Y1671" i="34"/>
  <c r="N1672" i="34"/>
  <c r="X1672" i="34"/>
  <c r="Y1672" i="34"/>
  <c r="N1673" i="34"/>
  <c r="X1673" i="34"/>
  <c r="Y1673" i="34"/>
  <c r="N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X1698" i="34"/>
  <c r="Y1698" i="34"/>
  <c r="N1699" i="34"/>
  <c r="X1699" i="34"/>
  <c r="Y1699" i="34"/>
  <c r="N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N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X1709" i="34"/>
  <c r="Y1709" i="34"/>
  <c r="N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X1732" i="34"/>
  <c r="Y1732" i="34"/>
  <c r="N1733" i="34"/>
  <c r="X1733" i="34"/>
  <c r="Y1733" i="34"/>
  <c r="N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X1762" i="34"/>
  <c r="Y1762" i="34"/>
  <c r="N1763" i="34"/>
  <c r="X1763" i="34"/>
  <c r="Y1763" i="34"/>
  <c r="N1764" i="34"/>
  <c r="X1764" i="34"/>
  <c r="Y1764" i="34"/>
  <c r="N1765" i="34"/>
  <c r="X1765" i="34"/>
  <c r="Y1765" i="34"/>
  <c r="N1766" i="34"/>
  <c r="X1766" i="34"/>
  <c r="Y1766" i="34"/>
  <c r="N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19" i="34" l="1"/>
  <c r="R19" i="34"/>
  <c r="S19" i="34"/>
  <c r="T19" i="34"/>
  <c r="X19" i="34"/>
  <c r="Y19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C55" i="15" l="1"/>
  <c r="I519" i="60" l="1"/>
  <c r="I520" i="60"/>
  <c r="I521" i="60"/>
  <c r="I518" i="60"/>
  <c r="R513" i="60"/>
  <c r="R511" i="60"/>
  <c r="R514" i="60"/>
  <c r="R512" i="60"/>
  <c r="R474" i="60"/>
  <c r="R472" i="60"/>
  <c r="R482" i="60"/>
  <c r="R471" i="60"/>
  <c r="R508" i="60"/>
  <c r="R507" i="60"/>
  <c r="R461" i="60"/>
  <c r="R502" i="60"/>
  <c r="R483" i="60"/>
  <c r="R475" i="60"/>
  <c r="R503" i="60"/>
  <c r="R498" i="60"/>
  <c r="R485" i="60"/>
  <c r="R467" i="60"/>
  <c r="R521" i="60"/>
  <c r="K1790" i="34"/>
  <c r="K1787" i="34"/>
  <c r="K1786" i="34"/>
  <c r="K1757" i="34"/>
  <c r="K1756" i="34"/>
  <c r="K1753" i="34"/>
  <c r="K1750" i="34"/>
  <c r="K1749" i="34"/>
  <c r="K1748" i="34"/>
  <c r="K1747" i="34"/>
  <c r="K1746" i="34"/>
  <c r="K1743" i="34"/>
  <c r="K1742" i="34"/>
  <c r="K1741" i="34"/>
  <c r="K1740" i="34"/>
  <c r="K1737" i="34"/>
  <c r="K1723" i="34"/>
  <c r="K1722" i="34"/>
  <c r="K1721" i="34"/>
  <c r="K1705" i="34"/>
  <c r="K1695" i="34"/>
  <c r="K1694" i="34"/>
  <c r="K1693" i="34"/>
  <c r="K1692" i="34"/>
  <c r="K1685" i="34"/>
  <c r="K1682" i="34"/>
  <c r="K1681" i="34"/>
  <c r="K1679" i="34"/>
  <c r="K1678" i="34"/>
  <c r="K1677" i="34"/>
  <c r="K1662" i="34"/>
  <c r="K1661" i="34"/>
  <c r="K1660" i="34"/>
  <c r="K1659" i="34"/>
  <c r="K1658" i="34"/>
  <c r="K1657" i="34"/>
  <c r="K1654" i="34"/>
  <c r="K1653" i="34"/>
  <c r="K1638" i="34"/>
  <c r="K1637" i="34"/>
  <c r="K1636" i="34"/>
  <c r="K1635" i="34"/>
  <c r="K1621" i="34"/>
  <c r="K1620" i="34"/>
  <c r="K1619" i="34"/>
  <c r="K1618" i="34"/>
  <c r="K1616" i="34"/>
  <c r="K1602" i="34"/>
  <c r="K1600" i="34"/>
  <c r="K1597" i="34"/>
  <c r="K1596" i="34"/>
  <c r="K1593" i="34"/>
  <c r="K1592" i="34"/>
  <c r="K1583" i="34"/>
  <c r="K1575" i="34"/>
  <c r="K1574" i="34"/>
  <c r="K1573" i="34"/>
  <c r="K1571" i="34"/>
  <c r="K1570" i="34"/>
  <c r="K1569" i="34"/>
  <c r="K1566" i="34"/>
  <c r="K1565" i="34"/>
  <c r="R402" i="60"/>
  <c r="R387" i="60"/>
  <c r="R446" i="60"/>
  <c r="R435" i="60"/>
  <c r="R403" i="60"/>
  <c r="R437" i="60"/>
  <c r="R390" i="60"/>
  <c r="C3155" i="34" l="1"/>
  <c r="B3155" i="34" s="1"/>
  <c r="K3155" i="34"/>
  <c r="C3156" i="34"/>
  <c r="B3156" i="34" s="1"/>
  <c r="K3156" i="34"/>
  <c r="C3157" i="34"/>
  <c r="B3157" i="34" s="1"/>
  <c r="K3157" i="34"/>
  <c r="C3158" i="34"/>
  <c r="B3158" i="34" s="1"/>
  <c r="K3158" i="34"/>
  <c r="C3159" i="34"/>
  <c r="B3159" i="34" s="1"/>
  <c r="K3159" i="34"/>
  <c r="C3160" i="34"/>
  <c r="B3160" i="34" s="1"/>
  <c r="K3160" i="34"/>
  <c r="C3161" i="34"/>
  <c r="B3161" i="34" s="1"/>
  <c r="K3161" i="34"/>
  <c r="C3162" i="34"/>
  <c r="B3162" i="34" s="1"/>
  <c r="K3162" i="34"/>
  <c r="C3163" i="34"/>
  <c r="B3163" i="34" s="1"/>
  <c r="K3163" i="34"/>
  <c r="C3164" i="34"/>
  <c r="B3164" i="34" s="1"/>
  <c r="K3164" i="34"/>
  <c r="U3164" i="34" l="1"/>
  <c r="Z3164" i="34"/>
  <c r="U3162" i="34"/>
  <c r="Z3162" i="34"/>
  <c r="U3160" i="34"/>
  <c r="Z3160" i="34"/>
  <c r="U3158" i="34"/>
  <c r="Z3158" i="34"/>
  <c r="U3156" i="34"/>
  <c r="Z3156" i="34"/>
  <c r="U3163" i="34"/>
  <c r="Z3163" i="34"/>
  <c r="U3161" i="34"/>
  <c r="Z3161" i="34"/>
  <c r="A3159" i="34"/>
  <c r="U3159" i="34"/>
  <c r="Z3159" i="34"/>
  <c r="U3157" i="34"/>
  <c r="Z3157" i="34"/>
  <c r="U3155" i="34"/>
  <c r="Z3155" i="34"/>
  <c r="A3160" i="34"/>
  <c r="A3156" i="34"/>
  <c r="A3155" i="34"/>
  <c r="A3158" i="34"/>
  <c r="A3163" i="34"/>
  <c r="A3162" i="34"/>
  <c r="A3161" i="34"/>
  <c r="A3157" i="34"/>
  <c r="A3164" i="34"/>
  <c r="K2143" i="34"/>
  <c r="T342" i="60"/>
  <c r="T316" i="60"/>
  <c r="T304" i="60"/>
  <c r="T302" i="60"/>
  <c r="R260" i="60" l="1"/>
  <c r="R249" i="60"/>
  <c r="R329" i="60"/>
  <c r="R317" i="60"/>
  <c r="R313" i="60"/>
  <c r="R309" i="60"/>
  <c r="R367" i="60"/>
  <c r="R363" i="60"/>
  <c r="R362" i="60"/>
  <c r="R308" i="60"/>
  <c r="R281" i="60"/>
  <c r="R250" i="60"/>
  <c r="R246" i="60"/>
  <c r="R245" i="60"/>
  <c r="R366" i="60"/>
  <c r="R312" i="60"/>
  <c r="R293" i="60"/>
  <c r="R273" i="60"/>
  <c r="R262" i="60"/>
  <c r="R254" i="60"/>
  <c r="R252" i="60" l="1"/>
  <c r="R248" i="60"/>
  <c r="R214" i="60"/>
  <c r="R351" i="60"/>
  <c r="R326" i="60"/>
  <c r="R239" i="60"/>
  <c r="R292" i="60"/>
  <c r="C2800" i="34" l="1"/>
  <c r="K2800" i="34"/>
  <c r="C2801" i="34"/>
  <c r="K2801" i="34"/>
  <c r="C2802" i="34"/>
  <c r="K2802" i="34"/>
  <c r="C2803" i="34"/>
  <c r="K2803" i="34"/>
  <c r="C2804" i="34"/>
  <c r="K2804" i="34"/>
  <c r="C2805" i="34"/>
  <c r="K2805" i="34"/>
  <c r="C2806" i="34"/>
  <c r="K2806" i="34"/>
  <c r="C2807" i="34"/>
  <c r="K2807" i="34"/>
  <c r="C2808" i="34"/>
  <c r="K2808" i="34"/>
  <c r="C2809" i="34"/>
  <c r="K2809" i="34"/>
  <c r="C2810" i="34"/>
  <c r="K2810" i="34"/>
  <c r="C2811" i="34"/>
  <c r="K2811" i="34"/>
  <c r="C2812" i="34"/>
  <c r="K2812" i="34"/>
  <c r="C2813" i="34"/>
  <c r="K2813" i="34"/>
  <c r="C2814" i="34"/>
  <c r="K2814" i="34"/>
  <c r="C2815" i="34"/>
  <c r="K2815" i="34"/>
  <c r="C2816" i="34"/>
  <c r="K2816" i="34"/>
  <c r="C2817" i="34"/>
  <c r="K2817" i="34"/>
  <c r="C2818" i="34"/>
  <c r="K2818" i="34"/>
  <c r="C2819" i="34"/>
  <c r="K2819" i="34"/>
  <c r="C2820" i="34"/>
  <c r="K2820" i="34"/>
  <c r="C2821" i="34"/>
  <c r="K2821" i="34"/>
  <c r="C2822" i="34"/>
  <c r="K2822" i="34"/>
  <c r="C2823" i="34"/>
  <c r="K2823" i="34"/>
  <c r="C2824" i="34"/>
  <c r="K2824" i="34"/>
  <c r="C2825" i="34"/>
  <c r="K2825" i="34"/>
  <c r="C2826" i="34"/>
  <c r="K2826" i="34"/>
  <c r="C2827" i="34"/>
  <c r="K2827" i="34"/>
  <c r="C2828" i="34"/>
  <c r="K2828" i="34"/>
  <c r="C2829" i="34"/>
  <c r="K2829" i="34"/>
  <c r="C2830" i="34"/>
  <c r="K2830" i="34"/>
  <c r="C2831" i="34"/>
  <c r="K2831" i="34"/>
  <c r="C2832" i="34"/>
  <c r="K2832" i="34"/>
  <c r="C2833" i="34"/>
  <c r="K2833" i="34"/>
  <c r="C2834" i="34"/>
  <c r="K2834" i="34"/>
  <c r="C2835" i="34"/>
  <c r="K2835" i="34"/>
  <c r="C2836" i="34"/>
  <c r="K2836" i="34"/>
  <c r="C2837" i="34"/>
  <c r="K2837" i="34"/>
  <c r="C2838" i="34"/>
  <c r="K2838" i="34"/>
  <c r="C2839" i="34"/>
  <c r="K2839" i="34"/>
  <c r="C2840" i="34"/>
  <c r="K2840" i="34"/>
  <c r="C2841" i="34"/>
  <c r="K2841" i="34"/>
  <c r="C2842" i="34"/>
  <c r="K2842" i="34"/>
  <c r="C2843" i="34"/>
  <c r="K2843" i="34"/>
  <c r="C2844" i="34"/>
  <c r="K2844" i="34"/>
  <c r="C2845" i="34"/>
  <c r="K2845" i="34"/>
  <c r="C2846" i="34"/>
  <c r="K2846" i="34"/>
  <c r="C2847" i="34"/>
  <c r="K2847" i="34"/>
  <c r="C2848" i="34"/>
  <c r="K2848" i="34"/>
  <c r="C2849" i="34"/>
  <c r="K2849" i="34"/>
  <c r="C2850" i="34"/>
  <c r="K2850" i="34"/>
  <c r="C2851" i="34"/>
  <c r="K2851" i="34"/>
  <c r="C2852" i="34"/>
  <c r="K2852" i="34"/>
  <c r="C2853" i="34"/>
  <c r="K2853" i="34"/>
  <c r="C2854" i="34"/>
  <c r="K2854" i="34"/>
  <c r="C2855" i="34"/>
  <c r="K2855" i="34"/>
  <c r="C2856" i="34"/>
  <c r="K2856" i="34"/>
  <c r="C2857" i="34"/>
  <c r="K2857" i="34"/>
  <c r="C2858" i="34"/>
  <c r="K2858" i="34"/>
  <c r="C2859" i="34"/>
  <c r="K2859" i="34"/>
  <c r="C2860" i="34"/>
  <c r="K2860" i="34"/>
  <c r="C2861" i="34"/>
  <c r="K2861" i="34"/>
  <c r="C2862" i="34"/>
  <c r="K2862" i="34"/>
  <c r="C2863" i="34"/>
  <c r="K2863" i="34"/>
  <c r="C2864" i="34"/>
  <c r="K2864" i="34"/>
  <c r="C2865" i="34"/>
  <c r="K2865" i="34"/>
  <c r="C2866" i="34"/>
  <c r="K2866" i="34"/>
  <c r="C2867" i="34"/>
  <c r="K2867" i="34"/>
  <c r="C2868" i="34"/>
  <c r="K2868" i="34"/>
  <c r="C2869" i="34"/>
  <c r="K2869" i="34"/>
  <c r="C2870" i="34"/>
  <c r="K2870" i="34"/>
  <c r="C2871" i="34"/>
  <c r="K2871" i="34"/>
  <c r="C2872" i="34"/>
  <c r="K2872" i="34"/>
  <c r="C2873" i="34"/>
  <c r="K2873" i="34"/>
  <c r="C2874" i="34"/>
  <c r="K2874" i="34"/>
  <c r="C2875" i="34"/>
  <c r="K2875" i="34"/>
  <c r="C2876" i="34"/>
  <c r="K2876" i="34"/>
  <c r="C2877" i="34"/>
  <c r="K2877" i="34"/>
  <c r="C2878" i="34"/>
  <c r="K2878" i="34"/>
  <c r="C2879" i="34"/>
  <c r="K2879" i="34"/>
  <c r="C2880" i="34"/>
  <c r="K2880" i="34"/>
  <c r="C2881" i="34"/>
  <c r="K2881" i="34"/>
  <c r="C2882" i="34"/>
  <c r="K2882" i="34"/>
  <c r="C2883" i="34"/>
  <c r="K2883" i="34"/>
  <c r="C2884" i="34"/>
  <c r="K2884" i="34"/>
  <c r="C2885" i="34"/>
  <c r="K2885" i="34"/>
  <c r="C2886" i="34"/>
  <c r="K2886" i="34"/>
  <c r="C2887" i="34"/>
  <c r="K2887" i="34"/>
  <c r="C2888" i="34"/>
  <c r="K2888" i="34"/>
  <c r="C2889" i="34"/>
  <c r="K2889" i="34"/>
  <c r="C2890" i="34"/>
  <c r="K2890" i="34"/>
  <c r="C2891" i="34"/>
  <c r="K2891" i="34"/>
  <c r="C2892" i="34"/>
  <c r="K2892" i="34"/>
  <c r="C2893" i="34"/>
  <c r="K2893" i="34"/>
  <c r="C2894" i="34"/>
  <c r="K2894" i="34"/>
  <c r="C2895" i="34"/>
  <c r="K2895" i="34"/>
  <c r="C2896" i="34"/>
  <c r="K2896" i="34"/>
  <c r="C2897" i="34"/>
  <c r="K2897" i="34"/>
  <c r="C2898" i="34"/>
  <c r="K2898" i="34"/>
  <c r="C2899" i="34"/>
  <c r="K2899" i="34"/>
  <c r="C2900" i="34"/>
  <c r="K2900" i="34"/>
  <c r="C2901" i="34"/>
  <c r="K2901" i="34"/>
  <c r="C2902" i="34"/>
  <c r="K2902" i="34"/>
  <c r="C2903" i="34"/>
  <c r="K2903" i="34"/>
  <c r="C2904" i="34"/>
  <c r="K2904" i="34"/>
  <c r="C2905" i="34"/>
  <c r="K2905" i="34"/>
  <c r="C2906" i="34"/>
  <c r="K2906" i="34"/>
  <c r="C2907" i="34"/>
  <c r="K2907" i="34"/>
  <c r="C2908" i="34"/>
  <c r="K2908" i="34"/>
  <c r="C2909" i="34"/>
  <c r="K2909" i="34"/>
  <c r="C2910" i="34"/>
  <c r="K2910" i="34"/>
  <c r="C2911" i="34"/>
  <c r="K2911" i="34"/>
  <c r="C2912" i="34"/>
  <c r="K2912" i="34"/>
  <c r="C2913" i="34"/>
  <c r="K2913" i="34"/>
  <c r="C2914" i="34"/>
  <c r="K2914" i="34"/>
  <c r="C2915" i="34"/>
  <c r="K2915" i="34"/>
  <c r="C2916" i="34"/>
  <c r="K2916" i="34"/>
  <c r="C2917" i="34"/>
  <c r="K2917" i="34"/>
  <c r="C2918" i="34"/>
  <c r="B2918" i="34" s="1"/>
  <c r="K2918" i="34"/>
  <c r="C2919" i="34"/>
  <c r="K2919" i="34"/>
  <c r="C2920" i="34"/>
  <c r="K2920" i="34"/>
  <c r="C2921" i="34"/>
  <c r="K2921" i="34"/>
  <c r="C2922" i="34"/>
  <c r="B2922" i="34" s="1"/>
  <c r="K2922" i="34"/>
  <c r="C2923" i="34"/>
  <c r="K2923" i="34"/>
  <c r="C2924" i="34"/>
  <c r="B2924" i="34" s="1"/>
  <c r="K2924" i="34"/>
  <c r="C2925" i="34"/>
  <c r="K2925" i="34"/>
  <c r="C2926" i="34"/>
  <c r="B2926" i="34" s="1"/>
  <c r="K2926" i="34"/>
  <c r="C2927" i="34"/>
  <c r="K2927" i="34"/>
  <c r="C2928" i="34"/>
  <c r="K2928" i="34"/>
  <c r="C2929" i="34"/>
  <c r="K2929" i="34"/>
  <c r="C2930" i="34"/>
  <c r="K2930" i="34"/>
  <c r="C2931" i="34"/>
  <c r="K2931" i="34"/>
  <c r="C2932" i="34"/>
  <c r="K2932" i="34"/>
  <c r="C2933" i="34"/>
  <c r="K2933" i="34"/>
  <c r="C2934" i="34"/>
  <c r="K2934" i="34"/>
  <c r="C2935" i="34"/>
  <c r="K2935" i="34"/>
  <c r="C2936" i="34"/>
  <c r="K2936" i="34"/>
  <c r="C2937" i="34"/>
  <c r="K2937" i="34"/>
  <c r="C2938" i="34"/>
  <c r="K2938" i="34"/>
  <c r="C2939" i="34"/>
  <c r="K2939" i="34"/>
  <c r="C2940" i="34"/>
  <c r="K2940" i="34"/>
  <c r="C2941" i="34"/>
  <c r="K2941" i="34"/>
  <c r="C2942" i="34"/>
  <c r="K2942" i="34"/>
  <c r="C2943" i="34"/>
  <c r="K2943" i="34"/>
  <c r="C2944" i="34"/>
  <c r="K2944" i="34"/>
  <c r="C2945" i="34"/>
  <c r="K2945" i="34"/>
  <c r="C2946" i="34"/>
  <c r="K2946" i="34"/>
  <c r="C2947" i="34"/>
  <c r="K2947" i="34"/>
  <c r="C2948" i="34"/>
  <c r="K2948" i="34"/>
  <c r="C2949" i="34"/>
  <c r="K2949" i="34"/>
  <c r="C2950" i="34"/>
  <c r="K2950" i="34"/>
  <c r="C2951" i="34"/>
  <c r="K2951" i="34"/>
  <c r="C2952" i="34"/>
  <c r="K2952" i="34"/>
  <c r="C2953" i="34"/>
  <c r="K2953" i="34"/>
  <c r="C2954" i="34"/>
  <c r="K2954" i="34"/>
  <c r="C2955" i="34"/>
  <c r="K2955" i="34"/>
  <c r="C2956" i="34"/>
  <c r="K2956" i="34"/>
  <c r="C2957" i="34"/>
  <c r="K2957" i="34"/>
  <c r="C2958" i="34"/>
  <c r="K2958" i="34"/>
  <c r="C2959" i="34"/>
  <c r="K2959" i="34"/>
  <c r="C2960" i="34"/>
  <c r="K2960" i="34"/>
  <c r="C2961" i="34"/>
  <c r="K2961" i="34"/>
  <c r="C2962" i="34"/>
  <c r="K2962" i="34"/>
  <c r="C2963" i="34"/>
  <c r="K2963" i="34"/>
  <c r="C2964" i="34"/>
  <c r="K2964" i="34"/>
  <c r="C2965" i="34"/>
  <c r="K2965" i="34"/>
  <c r="C2966" i="34"/>
  <c r="K2966" i="34"/>
  <c r="C2967" i="34"/>
  <c r="K2967" i="34"/>
  <c r="C2968" i="34"/>
  <c r="K2968" i="34"/>
  <c r="C2969" i="34"/>
  <c r="K2969" i="34"/>
  <c r="C2970" i="34"/>
  <c r="K2970" i="34"/>
  <c r="C2971" i="34"/>
  <c r="K2971" i="34"/>
  <c r="C2972" i="34"/>
  <c r="K2972" i="34"/>
  <c r="C2973" i="34"/>
  <c r="K2973" i="34"/>
  <c r="C2974" i="34"/>
  <c r="K2974" i="34"/>
  <c r="C2975" i="34"/>
  <c r="K2975" i="34"/>
  <c r="C2976" i="34"/>
  <c r="K2976" i="34"/>
  <c r="C2977" i="34"/>
  <c r="K2977" i="34"/>
  <c r="C2978" i="34"/>
  <c r="K2978" i="34"/>
  <c r="C2979" i="34"/>
  <c r="K2979" i="34"/>
  <c r="C2980" i="34"/>
  <c r="K2980" i="34"/>
  <c r="C2981" i="34"/>
  <c r="K2981" i="34"/>
  <c r="C2982" i="34"/>
  <c r="K2982" i="34"/>
  <c r="C2983" i="34"/>
  <c r="K2983" i="34"/>
  <c r="C2994" i="34"/>
  <c r="K2994" i="34"/>
  <c r="C2995" i="34"/>
  <c r="K2995" i="34"/>
  <c r="C2996" i="34"/>
  <c r="K2996" i="34"/>
  <c r="C2997" i="34"/>
  <c r="K2997" i="34"/>
  <c r="C2998" i="34"/>
  <c r="K2998" i="34"/>
  <c r="C2999" i="34"/>
  <c r="K2999" i="34"/>
  <c r="C3000" i="34"/>
  <c r="K3000" i="34"/>
  <c r="C3001" i="34"/>
  <c r="K3001" i="34"/>
  <c r="C3002" i="34"/>
  <c r="K3002" i="34"/>
  <c r="C3003" i="34"/>
  <c r="K3003" i="34"/>
  <c r="C3004" i="34"/>
  <c r="K3004" i="34"/>
  <c r="C3005" i="34"/>
  <c r="K3005" i="34"/>
  <c r="C3006" i="34"/>
  <c r="K3006" i="34"/>
  <c r="C3007" i="34"/>
  <c r="K3007" i="34"/>
  <c r="C3008" i="34"/>
  <c r="K3008" i="34"/>
  <c r="C3009" i="34"/>
  <c r="K3009" i="34"/>
  <c r="C3010" i="34"/>
  <c r="K3010" i="34"/>
  <c r="C3011" i="34"/>
  <c r="K3011" i="34"/>
  <c r="C3012" i="34"/>
  <c r="K3012" i="34"/>
  <c r="C3013" i="34"/>
  <c r="K3013" i="34"/>
  <c r="C3014" i="34"/>
  <c r="K3014" i="34"/>
  <c r="C3015" i="34"/>
  <c r="K3015" i="34"/>
  <c r="C3016" i="34"/>
  <c r="K3016" i="34"/>
  <c r="C3017" i="34"/>
  <c r="K3017" i="34"/>
  <c r="C3018" i="34"/>
  <c r="K3018" i="34"/>
  <c r="C3019" i="34"/>
  <c r="K3019" i="34"/>
  <c r="C3020" i="34"/>
  <c r="K3020" i="34"/>
  <c r="C3021" i="34"/>
  <c r="K3021" i="34"/>
  <c r="C3022" i="34"/>
  <c r="K3022" i="34"/>
  <c r="C3023" i="34"/>
  <c r="K3023" i="34"/>
  <c r="C3024" i="34"/>
  <c r="K3024" i="34"/>
  <c r="C3025" i="34"/>
  <c r="K3025" i="34"/>
  <c r="C3026" i="34"/>
  <c r="K3026" i="34"/>
  <c r="C3027" i="34"/>
  <c r="K3027" i="34"/>
  <c r="C3028" i="34"/>
  <c r="K3028" i="34"/>
  <c r="C3029" i="34"/>
  <c r="K3029" i="34"/>
  <c r="C3030" i="34"/>
  <c r="K3030" i="34"/>
  <c r="C3031" i="34"/>
  <c r="K3031" i="34"/>
  <c r="C3032" i="34"/>
  <c r="K3032" i="34"/>
  <c r="C3033" i="34"/>
  <c r="K3033" i="34"/>
  <c r="C3034" i="34"/>
  <c r="K3034" i="34"/>
  <c r="C3035" i="34"/>
  <c r="K3035" i="34"/>
  <c r="C3036" i="34"/>
  <c r="K3036" i="34"/>
  <c r="C3037" i="34"/>
  <c r="K3037" i="34"/>
  <c r="C3038" i="34"/>
  <c r="K3038" i="34"/>
  <c r="C3039" i="34"/>
  <c r="K3039" i="34"/>
  <c r="C3040" i="34"/>
  <c r="K3040" i="34"/>
  <c r="C3041" i="34"/>
  <c r="K3041" i="34"/>
  <c r="C3042" i="34"/>
  <c r="K3042" i="34"/>
  <c r="C3043" i="34"/>
  <c r="K3043" i="34"/>
  <c r="C3044" i="34"/>
  <c r="K3044" i="34"/>
  <c r="C3045" i="34"/>
  <c r="K3045" i="34"/>
  <c r="C3046" i="34"/>
  <c r="K3046" i="34"/>
  <c r="C3047" i="34"/>
  <c r="K3047" i="34"/>
  <c r="C3048" i="34"/>
  <c r="K3048" i="34"/>
  <c r="C3049" i="34"/>
  <c r="K3049" i="34"/>
  <c r="C3050" i="34"/>
  <c r="K3050" i="34"/>
  <c r="C3051" i="34"/>
  <c r="K3051" i="34"/>
  <c r="C3052" i="34"/>
  <c r="K3052" i="34"/>
  <c r="C3053" i="34"/>
  <c r="K3053" i="34"/>
  <c r="C3054" i="34"/>
  <c r="K3054" i="34"/>
  <c r="C3055" i="34"/>
  <c r="K3055" i="34"/>
  <c r="C3056" i="34"/>
  <c r="K3056" i="34"/>
  <c r="C3057" i="34"/>
  <c r="K3057" i="34"/>
  <c r="C3058" i="34"/>
  <c r="K3058" i="34"/>
  <c r="C3059" i="34"/>
  <c r="K3059" i="34"/>
  <c r="C3060" i="34"/>
  <c r="K3060" i="34"/>
  <c r="C3061" i="34"/>
  <c r="K3061" i="34"/>
  <c r="C3062" i="34"/>
  <c r="K3062" i="34"/>
  <c r="C3063" i="34"/>
  <c r="K3063" i="34"/>
  <c r="C3064" i="34"/>
  <c r="K3064" i="34"/>
  <c r="C3065" i="34"/>
  <c r="K3065" i="34"/>
  <c r="C3066" i="34"/>
  <c r="K3066" i="34"/>
  <c r="C3067" i="34"/>
  <c r="K3067" i="34"/>
  <c r="C3068" i="34"/>
  <c r="K3068" i="34"/>
  <c r="C3069" i="34"/>
  <c r="K3069" i="34"/>
  <c r="C3070" i="34"/>
  <c r="K3070" i="34"/>
  <c r="C3071" i="34"/>
  <c r="K3071" i="34"/>
  <c r="C3072" i="34"/>
  <c r="K3072" i="34"/>
  <c r="C3073" i="34"/>
  <c r="K3073" i="34"/>
  <c r="C3074" i="34"/>
  <c r="K3074" i="34"/>
  <c r="C3075" i="34"/>
  <c r="K3075" i="34"/>
  <c r="C3076" i="34"/>
  <c r="K3076" i="34"/>
  <c r="C3077" i="34"/>
  <c r="K3077" i="34"/>
  <c r="C3078" i="34"/>
  <c r="K3078" i="34"/>
  <c r="C3079" i="34"/>
  <c r="K3079" i="34"/>
  <c r="C3080" i="34"/>
  <c r="K3080" i="34"/>
  <c r="C3081" i="34"/>
  <c r="K3081" i="34"/>
  <c r="C3082" i="34"/>
  <c r="K3082" i="34"/>
  <c r="C3083" i="34"/>
  <c r="K3083" i="34"/>
  <c r="C3084" i="34"/>
  <c r="K3084" i="34"/>
  <c r="C3085" i="34"/>
  <c r="K3085" i="34"/>
  <c r="C3086" i="34"/>
  <c r="K3086" i="34"/>
  <c r="C3087" i="34"/>
  <c r="K3087" i="34"/>
  <c r="C3088" i="34"/>
  <c r="K3088" i="34"/>
  <c r="C3089" i="34"/>
  <c r="K3089" i="34"/>
  <c r="C2984" i="34"/>
  <c r="K2984" i="34"/>
  <c r="C2985" i="34"/>
  <c r="K2985" i="34"/>
  <c r="C2986" i="34"/>
  <c r="K2986" i="34"/>
  <c r="C2987" i="34"/>
  <c r="K2987" i="34"/>
  <c r="C2988" i="34"/>
  <c r="K2988" i="34"/>
  <c r="C2989" i="34"/>
  <c r="K2989" i="34"/>
  <c r="C3090" i="34"/>
  <c r="K3090" i="34"/>
  <c r="C3091" i="34"/>
  <c r="K3091" i="34"/>
  <c r="C3092" i="34"/>
  <c r="K3092" i="34"/>
  <c r="C3093" i="34"/>
  <c r="K3093" i="34"/>
  <c r="C3094" i="34"/>
  <c r="K3094" i="34"/>
  <c r="C3095" i="34"/>
  <c r="K3095" i="34"/>
  <c r="C3096" i="34"/>
  <c r="K3096" i="34"/>
  <c r="C3097" i="34"/>
  <c r="K3097" i="34"/>
  <c r="C3098" i="34"/>
  <c r="K3098" i="34"/>
  <c r="C3099" i="34"/>
  <c r="K3099" i="34"/>
  <c r="C3100" i="34"/>
  <c r="K3100" i="34"/>
  <c r="C3101" i="34"/>
  <c r="K3101" i="34"/>
  <c r="C3102" i="34"/>
  <c r="K3102" i="34"/>
  <c r="C3103" i="34"/>
  <c r="K3103" i="34"/>
  <c r="C3104" i="34"/>
  <c r="K3104" i="34"/>
  <c r="C3105" i="34"/>
  <c r="K3105" i="34"/>
  <c r="C3106" i="34"/>
  <c r="K3106" i="34"/>
  <c r="C3107" i="34"/>
  <c r="K3107" i="34"/>
  <c r="C3108" i="34"/>
  <c r="K3108" i="34"/>
  <c r="C3109" i="34"/>
  <c r="K3109" i="34"/>
  <c r="C3110" i="34"/>
  <c r="K3110" i="34"/>
  <c r="C3111" i="34"/>
  <c r="K3111" i="34"/>
  <c r="C3112" i="34"/>
  <c r="K3112" i="34"/>
  <c r="C3113" i="34"/>
  <c r="K3113" i="34"/>
  <c r="C3114" i="34"/>
  <c r="K3114" i="34"/>
  <c r="C3115" i="34"/>
  <c r="K3115" i="34"/>
  <c r="C3116" i="34"/>
  <c r="K3116" i="34"/>
  <c r="C3117" i="34"/>
  <c r="K3117" i="34"/>
  <c r="C3118" i="34"/>
  <c r="K3118" i="34"/>
  <c r="C3119" i="34"/>
  <c r="K3119" i="34"/>
  <c r="C3120" i="34"/>
  <c r="K3120" i="34"/>
  <c r="C3121" i="34"/>
  <c r="K3121" i="34"/>
  <c r="C3122" i="34"/>
  <c r="K3122" i="34"/>
  <c r="C3123" i="34"/>
  <c r="K3123" i="34"/>
  <c r="C3124" i="34"/>
  <c r="K3124" i="34"/>
  <c r="C2990" i="34"/>
  <c r="K2990" i="34"/>
  <c r="C2991" i="34"/>
  <c r="K2991" i="34"/>
  <c r="C2992" i="34"/>
  <c r="K2992" i="34"/>
  <c r="C3125" i="34"/>
  <c r="K3125" i="34"/>
  <c r="C3126" i="34"/>
  <c r="K3126" i="34"/>
  <c r="C3127" i="34"/>
  <c r="K3127" i="34"/>
  <c r="C3128" i="34"/>
  <c r="K3128" i="34"/>
  <c r="C3129" i="34"/>
  <c r="K3129" i="34"/>
  <c r="C2993" i="34"/>
  <c r="K2993" i="34"/>
  <c r="C3130" i="34"/>
  <c r="K3130" i="34"/>
  <c r="C3131" i="34"/>
  <c r="K3131" i="34"/>
  <c r="C3132" i="34"/>
  <c r="K3132" i="34"/>
  <c r="C3133" i="34"/>
  <c r="K3133" i="34"/>
  <c r="C3134" i="34"/>
  <c r="K3134" i="34"/>
  <c r="C3135" i="34"/>
  <c r="K3135" i="34"/>
  <c r="C3136" i="34"/>
  <c r="K3136" i="34"/>
  <c r="C3137" i="34"/>
  <c r="K3137" i="34"/>
  <c r="C3138" i="34"/>
  <c r="K3138" i="34"/>
  <c r="C3139" i="34"/>
  <c r="K3139" i="34"/>
  <c r="C3140" i="34"/>
  <c r="K3140" i="34"/>
  <c r="C3141" i="34"/>
  <c r="K3141" i="34"/>
  <c r="C3142" i="34"/>
  <c r="K3142" i="34"/>
  <c r="C3143" i="34"/>
  <c r="K3143" i="34"/>
  <c r="C3144" i="34"/>
  <c r="K3144" i="34"/>
  <c r="C3145" i="34"/>
  <c r="K3145" i="34"/>
  <c r="C3146" i="34"/>
  <c r="K3146" i="34"/>
  <c r="C3147" i="34"/>
  <c r="K3147" i="34"/>
  <c r="C3148" i="34"/>
  <c r="K3148" i="34"/>
  <c r="C3149" i="34"/>
  <c r="K3149" i="34"/>
  <c r="C3150" i="34"/>
  <c r="K3150" i="34"/>
  <c r="C3151" i="34"/>
  <c r="K3151" i="34"/>
  <c r="C3152" i="34"/>
  <c r="K3152" i="34"/>
  <c r="C3153" i="34"/>
  <c r="K3153" i="34"/>
  <c r="C3154" i="34"/>
  <c r="K3154" i="34"/>
  <c r="C3165" i="34"/>
  <c r="K3165" i="34"/>
  <c r="C3166" i="34"/>
  <c r="K3166" i="34"/>
  <c r="C3167" i="34"/>
  <c r="K3167" i="34"/>
  <c r="C3168" i="34"/>
  <c r="K3168" i="34"/>
  <c r="C3169" i="34"/>
  <c r="K3169" i="34"/>
  <c r="C3170" i="34"/>
  <c r="K3170" i="34"/>
  <c r="C3171" i="34"/>
  <c r="K3171" i="34"/>
  <c r="C3172" i="34"/>
  <c r="K3172" i="34"/>
  <c r="C3173" i="34"/>
  <c r="K3173" i="34"/>
  <c r="C3174" i="34"/>
  <c r="K3174" i="34"/>
  <c r="C3175" i="34"/>
  <c r="K3175" i="34"/>
  <c r="C3176" i="34"/>
  <c r="K3176" i="34"/>
  <c r="C3177" i="34"/>
  <c r="K3177" i="34"/>
  <c r="C3178" i="34"/>
  <c r="K3178" i="34"/>
  <c r="C3179" i="34"/>
  <c r="K3179" i="34"/>
  <c r="C3180" i="34"/>
  <c r="K3180" i="34"/>
  <c r="C3181" i="34"/>
  <c r="K3181" i="34"/>
  <c r="C3182" i="34"/>
  <c r="K3182" i="34"/>
  <c r="C3183" i="34"/>
  <c r="K3183" i="34"/>
  <c r="C3184" i="34"/>
  <c r="K3184" i="34"/>
  <c r="C3185" i="34"/>
  <c r="K3185" i="34"/>
  <c r="C3186" i="34"/>
  <c r="K3186" i="34"/>
  <c r="C3187" i="34"/>
  <c r="K3187" i="34"/>
  <c r="C3188" i="34"/>
  <c r="K3188" i="34"/>
  <c r="C3189" i="34"/>
  <c r="K3189" i="34"/>
  <c r="C3190" i="34"/>
  <c r="K3190" i="34"/>
  <c r="C3191" i="34"/>
  <c r="K3191" i="34"/>
  <c r="C3192" i="34"/>
  <c r="K3192" i="34"/>
  <c r="C3193" i="34"/>
  <c r="K3193" i="34"/>
  <c r="C3194" i="34"/>
  <c r="K3194" i="34"/>
  <c r="C3195" i="34"/>
  <c r="K3195" i="34"/>
  <c r="C3196" i="34"/>
  <c r="K3196" i="34"/>
  <c r="C3197" i="34"/>
  <c r="K3197" i="34"/>
  <c r="C3198" i="34"/>
  <c r="K3198" i="34"/>
  <c r="C3199" i="34"/>
  <c r="K3199" i="34"/>
  <c r="C3200" i="34"/>
  <c r="K3200" i="34"/>
  <c r="C3201" i="34"/>
  <c r="K3201" i="34"/>
  <c r="C3202" i="34"/>
  <c r="K3202" i="34"/>
  <c r="C3203" i="34"/>
  <c r="K3203" i="34"/>
  <c r="C3204" i="34"/>
  <c r="K3204" i="34"/>
  <c r="C3205" i="34"/>
  <c r="K3205" i="34"/>
  <c r="C3206" i="34"/>
  <c r="K3206" i="34"/>
  <c r="C3207" i="34"/>
  <c r="K3207" i="34"/>
  <c r="C3208" i="34"/>
  <c r="K3208" i="34"/>
  <c r="C3209" i="34"/>
  <c r="K3209" i="34"/>
  <c r="C3210" i="34"/>
  <c r="K3210" i="34"/>
  <c r="C3211" i="34"/>
  <c r="K3211" i="34"/>
  <c r="C3212" i="34"/>
  <c r="K3212" i="34"/>
  <c r="C3213" i="34"/>
  <c r="K3213" i="34"/>
  <c r="C3214" i="34"/>
  <c r="K3214" i="34"/>
  <c r="C3215" i="34"/>
  <c r="K3215" i="34"/>
  <c r="C3216" i="34"/>
  <c r="K3216" i="34"/>
  <c r="C3217" i="34"/>
  <c r="K3217" i="34"/>
  <c r="C3218" i="34"/>
  <c r="K3218" i="34"/>
  <c r="C3219" i="34"/>
  <c r="K3219" i="34"/>
  <c r="C3220" i="34"/>
  <c r="K3220" i="34"/>
  <c r="C3221" i="34"/>
  <c r="K3221" i="34"/>
  <c r="C3222" i="34"/>
  <c r="K3222" i="34"/>
  <c r="C3223" i="34"/>
  <c r="K3223" i="34"/>
  <c r="C3224" i="34"/>
  <c r="K3224" i="34"/>
  <c r="C3225" i="34"/>
  <c r="K3225" i="34"/>
  <c r="C3226" i="34"/>
  <c r="K3226" i="34"/>
  <c r="C3227" i="34"/>
  <c r="K3227" i="34"/>
  <c r="C3228" i="34"/>
  <c r="K3228" i="34"/>
  <c r="C3229" i="34"/>
  <c r="K3229" i="34"/>
  <c r="C3230" i="34"/>
  <c r="K3230" i="34"/>
  <c r="C3231" i="34"/>
  <c r="K3231" i="34"/>
  <c r="C3232" i="34"/>
  <c r="K3232" i="34"/>
  <c r="C3233" i="34"/>
  <c r="K3233" i="34"/>
  <c r="C3234" i="34"/>
  <c r="K3234" i="34"/>
  <c r="C3235" i="34"/>
  <c r="K3235" i="34"/>
  <c r="C3236" i="34"/>
  <c r="K3236" i="34"/>
  <c r="C3237" i="34"/>
  <c r="K3237" i="34"/>
  <c r="C3238" i="34"/>
  <c r="K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2799" i="34"/>
  <c r="B2927" i="34"/>
  <c r="B2925" i="34"/>
  <c r="B2923" i="34"/>
  <c r="B2921" i="34"/>
  <c r="B2920" i="34"/>
  <c r="B2919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875" i="34"/>
  <c r="B2874" i="34"/>
  <c r="B2873" i="34"/>
  <c r="B2872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3065" i="34"/>
  <c r="B3064" i="34"/>
  <c r="B3063" i="34"/>
  <c r="B3062" i="34"/>
  <c r="B3061" i="34"/>
  <c r="B3060" i="34"/>
  <c r="B3059" i="34"/>
  <c r="B3058" i="34"/>
  <c r="B3057" i="34"/>
  <c r="B3056" i="34"/>
  <c r="B3055" i="34"/>
  <c r="B3054" i="34"/>
  <c r="B3053" i="34"/>
  <c r="B3052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36" i="34"/>
  <c r="B3035" i="34"/>
  <c r="B3034" i="34"/>
  <c r="B3033" i="34"/>
  <c r="B3032" i="34"/>
  <c r="B3031" i="34"/>
  <c r="B3030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6" i="34"/>
  <c r="B3015" i="34"/>
  <c r="B3014" i="34"/>
  <c r="B3013" i="34"/>
  <c r="B3012" i="34"/>
  <c r="B3011" i="34"/>
  <c r="B3010" i="34"/>
  <c r="B3009" i="34"/>
  <c r="B3008" i="34"/>
  <c r="B3007" i="34"/>
  <c r="B3006" i="34"/>
  <c r="B3005" i="34"/>
  <c r="B3004" i="34"/>
  <c r="B3003" i="34"/>
  <c r="B3002" i="34"/>
  <c r="B3001" i="34"/>
  <c r="B3000" i="34"/>
  <c r="B2999" i="34"/>
  <c r="B2998" i="34"/>
  <c r="B2997" i="34"/>
  <c r="B2996" i="34"/>
  <c r="B2995" i="34"/>
  <c r="B2994" i="34"/>
  <c r="B2983" i="34"/>
  <c r="B2982" i="34"/>
  <c r="B2981" i="34"/>
  <c r="B2980" i="34"/>
  <c r="B2979" i="34"/>
  <c r="B2978" i="34"/>
  <c r="B2977" i="34"/>
  <c r="B2976" i="34"/>
  <c r="B2975" i="34"/>
  <c r="B2974" i="34"/>
  <c r="B2973" i="34"/>
  <c r="B2972" i="34"/>
  <c r="B2971" i="34"/>
  <c r="B2970" i="34"/>
  <c r="B2969" i="34"/>
  <c r="B2968" i="34"/>
  <c r="B2967" i="34"/>
  <c r="B2966" i="34"/>
  <c r="B2965" i="34"/>
  <c r="B2964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50" i="34"/>
  <c r="B2949" i="34"/>
  <c r="B2948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3183" i="34"/>
  <c r="B3182" i="34"/>
  <c r="B3181" i="34"/>
  <c r="B3180" i="34"/>
  <c r="B3179" i="34"/>
  <c r="B3178" i="34"/>
  <c r="B3177" i="34"/>
  <c r="B3176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54" i="34"/>
  <c r="B3153" i="34"/>
  <c r="B3152" i="34"/>
  <c r="B3151" i="34"/>
  <c r="B3150" i="34"/>
  <c r="B3149" i="34"/>
  <c r="B3148" i="34"/>
  <c r="B3147" i="34"/>
  <c r="B3146" i="34"/>
  <c r="B3145" i="34"/>
  <c r="B3144" i="34"/>
  <c r="B3143" i="34"/>
  <c r="B3142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130" i="34"/>
  <c r="B2993" i="34"/>
  <c r="B3129" i="34"/>
  <c r="B3128" i="34"/>
  <c r="B3127" i="34"/>
  <c r="B3126" i="34"/>
  <c r="B3125" i="34"/>
  <c r="B2992" i="34"/>
  <c r="B2991" i="34"/>
  <c r="B2990" i="34"/>
  <c r="B3124" i="34"/>
  <c r="B3123" i="34"/>
  <c r="B3122" i="34"/>
  <c r="B3121" i="34"/>
  <c r="B3120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95" i="34"/>
  <c r="B3094" i="34"/>
  <c r="B3093" i="34"/>
  <c r="B3092" i="34"/>
  <c r="B3091" i="34"/>
  <c r="B3090" i="34"/>
  <c r="B2989" i="34"/>
  <c r="B2988" i="34"/>
  <c r="B2987" i="34"/>
  <c r="B2986" i="34"/>
  <c r="B2985" i="34"/>
  <c r="B2984" i="34"/>
  <c r="B3089" i="34"/>
  <c r="B3088" i="34"/>
  <c r="B3087" i="34"/>
  <c r="B3086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072" i="34"/>
  <c r="B3071" i="34"/>
  <c r="B3070" i="34"/>
  <c r="B3069" i="34"/>
  <c r="B3068" i="34"/>
  <c r="B3067" i="34"/>
  <c r="B3066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5" i="34"/>
  <c r="B3264" i="34"/>
  <c r="B3263" i="34"/>
  <c r="B3262" i="34"/>
  <c r="B3261" i="34"/>
  <c r="B3260" i="34"/>
  <c r="B3259" i="34"/>
  <c r="B3258" i="34"/>
  <c r="B3257" i="34"/>
  <c r="B3256" i="34"/>
  <c r="B3255" i="34"/>
  <c r="B3254" i="34"/>
  <c r="B3253" i="34"/>
  <c r="B3252" i="34"/>
  <c r="B3251" i="34"/>
  <c r="B3250" i="34"/>
  <c r="B3249" i="34"/>
  <c r="B3248" i="34"/>
  <c r="B3247" i="34"/>
  <c r="B3246" i="34"/>
  <c r="B3245" i="34"/>
  <c r="B3244" i="34"/>
  <c r="B3243" i="34"/>
  <c r="B3242" i="34"/>
  <c r="B3241" i="34"/>
  <c r="B3240" i="34"/>
  <c r="B3239" i="34"/>
  <c r="B3238" i="34"/>
  <c r="B3237" i="34"/>
  <c r="B3236" i="34"/>
  <c r="B3235" i="34"/>
  <c r="B3234" i="34"/>
  <c r="B3233" i="34"/>
  <c r="B3232" i="34"/>
  <c r="B3231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218" i="34"/>
  <c r="B3217" i="34"/>
  <c r="B3216" i="34"/>
  <c r="B3215" i="34"/>
  <c r="B3214" i="34"/>
  <c r="B3213" i="34"/>
  <c r="B3212" i="34"/>
  <c r="B3211" i="34"/>
  <c r="B3210" i="34"/>
  <c r="B3209" i="34"/>
  <c r="B3208" i="34"/>
  <c r="B3207" i="34"/>
  <c r="B3206" i="34"/>
  <c r="B3205" i="34"/>
  <c r="B3204" i="34"/>
  <c r="B3203" i="34"/>
  <c r="B3202" i="34"/>
  <c r="B3201" i="34"/>
  <c r="B3200" i="34"/>
  <c r="B3199" i="34"/>
  <c r="B3198" i="34"/>
  <c r="B3197" i="34"/>
  <c r="B3196" i="34"/>
  <c r="B3195" i="34"/>
  <c r="B3194" i="34"/>
  <c r="B3193" i="34"/>
  <c r="B3192" i="34"/>
  <c r="B3191" i="34"/>
  <c r="B3190" i="34"/>
  <c r="B3189" i="34"/>
  <c r="B3188" i="34"/>
  <c r="B3187" i="34"/>
  <c r="B3186" i="34"/>
  <c r="B3185" i="34"/>
  <c r="B3184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U3186" i="34" l="1"/>
  <c r="Z3186" i="34"/>
  <c r="U3190" i="34"/>
  <c r="Z3190" i="34"/>
  <c r="U3194" i="34"/>
  <c r="Z3194" i="34"/>
  <c r="U3198" i="34"/>
  <c r="Z3198" i="34"/>
  <c r="U3202" i="34"/>
  <c r="Z3202" i="34"/>
  <c r="U3206" i="34"/>
  <c r="Z3206" i="34"/>
  <c r="U3210" i="34"/>
  <c r="Z3210" i="34"/>
  <c r="U3214" i="34"/>
  <c r="Z3214" i="34"/>
  <c r="U3218" i="34"/>
  <c r="Z3218" i="34"/>
  <c r="U3222" i="34"/>
  <c r="Z3222" i="34"/>
  <c r="U3226" i="34"/>
  <c r="Z3226" i="34"/>
  <c r="U3230" i="34"/>
  <c r="Z3230" i="34"/>
  <c r="U3234" i="34"/>
  <c r="Z3234" i="34"/>
  <c r="U3238" i="34"/>
  <c r="Z3238" i="34"/>
  <c r="U3242" i="34"/>
  <c r="Z3242" i="34"/>
  <c r="A3246" i="34"/>
  <c r="U3246" i="34"/>
  <c r="Z3246" i="34"/>
  <c r="U3250" i="34"/>
  <c r="Z3250" i="34"/>
  <c r="U3254" i="34"/>
  <c r="Z3254" i="34"/>
  <c r="U3258" i="34"/>
  <c r="Z3258" i="34"/>
  <c r="U3262" i="34"/>
  <c r="Z3262" i="34"/>
  <c r="U3266" i="34"/>
  <c r="Z3266" i="34"/>
  <c r="U3270" i="34"/>
  <c r="Z3270" i="34"/>
  <c r="U3274" i="34"/>
  <c r="Z3274" i="34"/>
  <c r="U3278" i="34"/>
  <c r="Z3278" i="34"/>
  <c r="U3282" i="34"/>
  <c r="Z3282" i="34"/>
  <c r="U3286" i="34"/>
  <c r="Z3286" i="34"/>
  <c r="U3290" i="34"/>
  <c r="Z3290" i="34"/>
  <c r="U3294" i="34"/>
  <c r="Z3294" i="34"/>
  <c r="U3298" i="34"/>
  <c r="Z3298" i="34"/>
  <c r="U3067" i="34"/>
  <c r="Z3067" i="34"/>
  <c r="U3071" i="34"/>
  <c r="Z3071" i="34"/>
  <c r="U3075" i="34"/>
  <c r="Z3075" i="34"/>
  <c r="U3079" i="34"/>
  <c r="Z3079" i="34"/>
  <c r="U3083" i="34"/>
  <c r="Z3083" i="34"/>
  <c r="U3087" i="34"/>
  <c r="Z3087" i="34"/>
  <c r="U2985" i="34"/>
  <c r="Z2985" i="34"/>
  <c r="U2989" i="34"/>
  <c r="Z2989" i="34"/>
  <c r="U3093" i="34"/>
  <c r="Z3093" i="34"/>
  <c r="U3097" i="34"/>
  <c r="Z3097" i="34"/>
  <c r="U3101" i="34"/>
  <c r="Z3101" i="34"/>
  <c r="U3105" i="34"/>
  <c r="Z3105" i="34"/>
  <c r="U3109" i="34"/>
  <c r="Z3109" i="34"/>
  <c r="U3113" i="34"/>
  <c r="Z3113" i="34"/>
  <c r="U3117" i="34"/>
  <c r="Z3117" i="34"/>
  <c r="U3121" i="34"/>
  <c r="Z3121" i="34"/>
  <c r="U2990" i="34"/>
  <c r="Z2990" i="34"/>
  <c r="U3126" i="34"/>
  <c r="Z3126" i="34"/>
  <c r="U2993" i="34"/>
  <c r="Z2993" i="34"/>
  <c r="U3133" i="34"/>
  <c r="Z3133" i="34"/>
  <c r="U3137" i="34"/>
  <c r="Z3137" i="34"/>
  <c r="U3141" i="34"/>
  <c r="Z3141" i="34"/>
  <c r="U3145" i="34"/>
  <c r="Z3145" i="34"/>
  <c r="U3149" i="34"/>
  <c r="Z3149" i="34"/>
  <c r="U3153" i="34"/>
  <c r="Z3153" i="34"/>
  <c r="U3167" i="34"/>
  <c r="Z3167" i="34"/>
  <c r="U3171" i="34"/>
  <c r="Z3171" i="34"/>
  <c r="A3175" i="34"/>
  <c r="U3175" i="34"/>
  <c r="Z3175" i="34"/>
  <c r="U3179" i="34"/>
  <c r="Z3179" i="34"/>
  <c r="U3183" i="34"/>
  <c r="Z3183" i="34"/>
  <c r="A2931" i="34"/>
  <c r="U2931" i="34"/>
  <c r="Z2931" i="34"/>
  <c r="U2935" i="34"/>
  <c r="Z2935" i="34"/>
  <c r="U2939" i="34"/>
  <c r="Z2939" i="34"/>
  <c r="U2943" i="34"/>
  <c r="Z2943" i="34"/>
  <c r="U2947" i="34"/>
  <c r="Z2947" i="34"/>
  <c r="U2951" i="34"/>
  <c r="Z2951" i="34"/>
  <c r="U2955" i="34"/>
  <c r="Z2955" i="34"/>
  <c r="U2959" i="34"/>
  <c r="Z2959" i="34"/>
  <c r="U2963" i="34"/>
  <c r="Z2963" i="34"/>
  <c r="U2967" i="34"/>
  <c r="Z2967" i="34"/>
  <c r="U2971" i="34"/>
  <c r="Z2971" i="34"/>
  <c r="U2975" i="34"/>
  <c r="Z2975" i="34"/>
  <c r="U2979" i="34"/>
  <c r="Z2979" i="34"/>
  <c r="U2983" i="34"/>
  <c r="Z2983" i="34"/>
  <c r="U2997" i="34"/>
  <c r="Z2997" i="34"/>
  <c r="U3001" i="34"/>
  <c r="Z3001" i="34"/>
  <c r="U3005" i="34"/>
  <c r="Z3005" i="34"/>
  <c r="U3009" i="34"/>
  <c r="Z3009" i="34"/>
  <c r="U3013" i="34"/>
  <c r="Z3013" i="34"/>
  <c r="U3017" i="34"/>
  <c r="Z3017" i="34"/>
  <c r="U3021" i="34"/>
  <c r="Z3021" i="34"/>
  <c r="U3025" i="34"/>
  <c r="Z3025" i="34"/>
  <c r="U3029" i="34"/>
  <c r="Z3029" i="34"/>
  <c r="U3033" i="34"/>
  <c r="Z3033" i="34"/>
  <c r="U3037" i="34"/>
  <c r="Z3037" i="34"/>
  <c r="U3041" i="34"/>
  <c r="Z3041" i="34"/>
  <c r="U3045" i="34"/>
  <c r="Z3045" i="34"/>
  <c r="U3049" i="34"/>
  <c r="Z3049" i="34"/>
  <c r="A3053" i="34"/>
  <c r="U3053" i="34"/>
  <c r="Z3053" i="34"/>
  <c r="U3057" i="34"/>
  <c r="Z3057" i="34"/>
  <c r="U3061" i="34"/>
  <c r="Z3061" i="34"/>
  <c r="U3065" i="34"/>
  <c r="Z3065" i="34"/>
  <c r="A2803" i="34"/>
  <c r="U2803" i="34"/>
  <c r="Z2803" i="34"/>
  <c r="U2807" i="34"/>
  <c r="Z2807" i="34"/>
  <c r="A2811" i="34"/>
  <c r="U2811" i="34"/>
  <c r="Z2811" i="34"/>
  <c r="U2815" i="34"/>
  <c r="Z2815" i="34"/>
  <c r="U2819" i="34"/>
  <c r="Z2819" i="34"/>
  <c r="U2823" i="34"/>
  <c r="Z2823" i="34"/>
  <c r="U2827" i="34"/>
  <c r="Z2827" i="34"/>
  <c r="U2831" i="34"/>
  <c r="Z2831" i="34"/>
  <c r="U2835" i="34"/>
  <c r="Z2835" i="34"/>
  <c r="U2839" i="34"/>
  <c r="Z2839" i="34"/>
  <c r="U2843" i="34"/>
  <c r="Z2843" i="34"/>
  <c r="U2847" i="34"/>
  <c r="Z2847" i="34"/>
  <c r="U2851" i="34"/>
  <c r="Z2851" i="34"/>
  <c r="U2855" i="34"/>
  <c r="Z2855" i="34"/>
  <c r="U2859" i="34"/>
  <c r="Z2859" i="34"/>
  <c r="U2863" i="34"/>
  <c r="Z2863" i="34"/>
  <c r="U2867" i="34"/>
  <c r="Z2867" i="34"/>
  <c r="U2871" i="34"/>
  <c r="Z2871" i="34"/>
  <c r="U2875" i="34"/>
  <c r="Z2875" i="34"/>
  <c r="U2879" i="34"/>
  <c r="Z2879" i="34"/>
  <c r="U2883" i="34"/>
  <c r="Z2883" i="34"/>
  <c r="U2887" i="34"/>
  <c r="Z2887" i="34"/>
  <c r="U2891" i="34"/>
  <c r="Z2891" i="34"/>
  <c r="U2895" i="34"/>
  <c r="Z2895" i="34"/>
  <c r="U2899" i="34"/>
  <c r="Z2899" i="34"/>
  <c r="U2903" i="34"/>
  <c r="Z2903" i="34"/>
  <c r="U2907" i="34"/>
  <c r="Z2907" i="34"/>
  <c r="U2911" i="34"/>
  <c r="Z2911" i="34"/>
  <c r="U2915" i="34"/>
  <c r="Z2915" i="34"/>
  <c r="U2920" i="34"/>
  <c r="Z2920" i="34"/>
  <c r="U2927" i="34"/>
  <c r="Z2927" i="34"/>
  <c r="U3187" i="34"/>
  <c r="Z3187" i="34"/>
  <c r="U3191" i="34"/>
  <c r="Z3191" i="34"/>
  <c r="U3195" i="34"/>
  <c r="Z3195" i="34"/>
  <c r="U3199" i="34"/>
  <c r="Z3199" i="34"/>
  <c r="U3203" i="34"/>
  <c r="Z3203" i="34"/>
  <c r="U3207" i="34"/>
  <c r="Z3207" i="34"/>
  <c r="U3211" i="34"/>
  <c r="Z3211" i="34"/>
  <c r="U3215" i="34"/>
  <c r="Z3215" i="34"/>
  <c r="U3219" i="34"/>
  <c r="Z3219" i="34"/>
  <c r="U3223" i="34"/>
  <c r="Z3223" i="34"/>
  <c r="U3227" i="34"/>
  <c r="Z3227" i="34"/>
  <c r="U3231" i="34"/>
  <c r="Z3231" i="34"/>
  <c r="U3235" i="34"/>
  <c r="Z3235" i="34"/>
  <c r="U3239" i="34"/>
  <c r="Z3239" i="34"/>
  <c r="U3243" i="34"/>
  <c r="Z3243" i="34"/>
  <c r="U3247" i="34"/>
  <c r="Z3247" i="34"/>
  <c r="U3251" i="34"/>
  <c r="Z3251" i="34"/>
  <c r="U3255" i="34"/>
  <c r="Z3255" i="34"/>
  <c r="U3259" i="34"/>
  <c r="Z3259" i="34"/>
  <c r="U3263" i="34"/>
  <c r="Z3263" i="34"/>
  <c r="U3267" i="34"/>
  <c r="Z3267" i="34"/>
  <c r="U3271" i="34"/>
  <c r="Z3271" i="34"/>
  <c r="U3275" i="34"/>
  <c r="Z3275" i="34"/>
  <c r="U3279" i="34"/>
  <c r="Z3279" i="34"/>
  <c r="U3283" i="34"/>
  <c r="Z3283" i="34"/>
  <c r="U3287" i="34"/>
  <c r="Z3287" i="34"/>
  <c r="U3291" i="34"/>
  <c r="Z3291" i="34"/>
  <c r="U3295" i="34"/>
  <c r="Z3295" i="34"/>
  <c r="U3299" i="34"/>
  <c r="Z3299" i="34"/>
  <c r="U3068" i="34"/>
  <c r="Z3068" i="34"/>
  <c r="U3072" i="34"/>
  <c r="Z3072" i="34"/>
  <c r="U3076" i="34"/>
  <c r="Z3076" i="34"/>
  <c r="U3080" i="34"/>
  <c r="Z3080" i="34"/>
  <c r="U3084" i="34"/>
  <c r="Z3084" i="34"/>
  <c r="U3088" i="34"/>
  <c r="Z3088" i="34"/>
  <c r="U2986" i="34"/>
  <c r="Z2986" i="34"/>
  <c r="U3090" i="34"/>
  <c r="Z3090" i="34"/>
  <c r="U3094" i="34"/>
  <c r="Z3094" i="34"/>
  <c r="U3098" i="34"/>
  <c r="Z3098" i="34"/>
  <c r="U3102" i="34"/>
  <c r="Z3102" i="34"/>
  <c r="U3106" i="34"/>
  <c r="Z3106" i="34"/>
  <c r="U3110" i="34"/>
  <c r="Z3110" i="34"/>
  <c r="U3114" i="34"/>
  <c r="Z3114" i="34"/>
  <c r="U3118" i="34"/>
  <c r="Z3118" i="34"/>
  <c r="U3122" i="34"/>
  <c r="Z3122" i="34"/>
  <c r="U2991" i="34"/>
  <c r="Z2991" i="34"/>
  <c r="U3127" i="34"/>
  <c r="Z3127" i="34"/>
  <c r="U3130" i="34"/>
  <c r="Z3130" i="34"/>
  <c r="U3134" i="34"/>
  <c r="Z3134" i="34"/>
  <c r="U3138" i="34"/>
  <c r="Z3138" i="34"/>
  <c r="U3142" i="34"/>
  <c r="Z3142" i="34"/>
  <c r="U3146" i="34"/>
  <c r="Z3146" i="34"/>
  <c r="U3150" i="34"/>
  <c r="Z3150" i="34"/>
  <c r="U3154" i="34"/>
  <c r="Z3154" i="34"/>
  <c r="U3168" i="34"/>
  <c r="Z3168" i="34"/>
  <c r="U3172" i="34"/>
  <c r="Z3172" i="34"/>
  <c r="U3176" i="34"/>
  <c r="Z3176" i="34"/>
  <c r="U3180" i="34"/>
  <c r="Z3180" i="34"/>
  <c r="U2928" i="34"/>
  <c r="Z2928" i="34"/>
  <c r="U2932" i="34"/>
  <c r="Z2932" i="34"/>
  <c r="U2936" i="34"/>
  <c r="Z2936" i="34"/>
  <c r="U2940" i="34"/>
  <c r="Z2940" i="34"/>
  <c r="U2944" i="34"/>
  <c r="Z2944" i="34"/>
  <c r="U2948" i="34"/>
  <c r="Z2948" i="34"/>
  <c r="U2952" i="34"/>
  <c r="Z2952" i="34"/>
  <c r="U2956" i="34"/>
  <c r="Z2956" i="34"/>
  <c r="U2960" i="34"/>
  <c r="Z2960" i="34"/>
  <c r="U2964" i="34"/>
  <c r="Z2964" i="34"/>
  <c r="U2968" i="34"/>
  <c r="Z2968" i="34"/>
  <c r="U2972" i="34"/>
  <c r="Z2972" i="34"/>
  <c r="U2976" i="34"/>
  <c r="Z2976" i="34"/>
  <c r="U2980" i="34"/>
  <c r="Z2980" i="34"/>
  <c r="U2994" i="34"/>
  <c r="Z2994" i="34"/>
  <c r="U2998" i="34"/>
  <c r="Z2998" i="34"/>
  <c r="U3002" i="34"/>
  <c r="Z3002" i="34"/>
  <c r="U3006" i="34"/>
  <c r="Z3006" i="34"/>
  <c r="U3010" i="34"/>
  <c r="Z3010" i="34"/>
  <c r="U3014" i="34"/>
  <c r="Z3014" i="34"/>
  <c r="U3018" i="34"/>
  <c r="Z3018" i="34"/>
  <c r="U3022" i="34"/>
  <c r="Z3022" i="34"/>
  <c r="U3026" i="34"/>
  <c r="Z3026" i="34"/>
  <c r="U3030" i="34"/>
  <c r="Z3030" i="34"/>
  <c r="U3034" i="34"/>
  <c r="Z3034" i="34"/>
  <c r="U3038" i="34"/>
  <c r="Z3038" i="34"/>
  <c r="U3042" i="34"/>
  <c r="Z3042" i="34"/>
  <c r="U3046" i="34"/>
  <c r="Z3046" i="34"/>
  <c r="U3050" i="34"/>
  <c r="Z3050" i="34"/>
  <c r="U3054" i="34"/>
  <c r="Z3054" i="34"/>
  <c r="U3058" i="34"/>
  <c r="Z3058" i="34"/>
  <c r="U3062" i="34"/>
  <c r="Z3062" i="34"/>
  <c r="U2800" i="34"/>
  <c r="Z2800" i="34"/>
  <c r="A2804" i="34"/>
  <c r="U2804" i="34"/>
  <c r="Z2804" i="34"/>
  <c r="U2808" i="34"/>
  <c r="Z2808" i="34"/>
  <c r="A2812" i="34"/>
  <c r="U2812" i="34"/>
  <c r="Z2812" i="34"/>
  <c r="U2816" i="34"/>
  <c r="Z2816" i="34"/>
  <c r="U2820" i="34"/>
  <c r="Z2820" i="34"/>
  <c r="U2824" i="34"/>
  <c r="Z2824" i="34"/>
  <c r="U2828" i="34"/>
  <c r="Z2828" i="34"/>
  <c r="U2832" i="34"/>
  <c r="Z2832" i="34"/>
  <c r="U2836" i="34"/>
  <c r="Z2836" i="34"/>
  <c r="U2840" i="34"/>
  <c r="Z2840" i="34"/>
  <c r="U2844" i="34"/>
  <c r="Z2844" i="34"/>
  <c r="U2848" i="34"/>
  <c r="Z2848" i="34"/>
  <c r="U2852" i="34"/>
  <c r="Z2852" i="34"/>
  <c r="U2856" i="34"/>
  <c r="Z2856" i="34"/>
  <c r="U2860" i="34"/>
  <c r="Z2860" i="34"/>
  <c r="U2864" i="34"/>
  <c r="Z2864" i="34"/>
  <c r="U2868" i="34"/>
  <c r="Z2868" i="34"/>
  <c r="A2872" i="34"/>
  <c r="U2872" i="34"/>
  <c r="Z2872" i="34"/>
  <c r="U2876" i="34"/>
  <c r="Z2876" i="34"/>
  <c r="U2880" i="34"/>
  <c r="Z2880" i="34"/>
  <c r="U2884" i="34"/>
  <c r="Z2884" i="34"/>
  <c r="U2888" i="34"/>
  <c r="Z2888" i="34"/>
  <c r="U2892" i="34"/>
  <c r="Z2892" i="34"/>
  <c r="U2896" i="34"/>
  <c r="Z2896" i="34"/>
  <c r="U2900" i="34"/>
  <c r="Z2900" i="34"/>
  <c r="U2904" i="34"/>
  <c r="Z2904" i="34"/>
  <c r="U2908" i="34"/>
  <c r="Z2908" i="34"/>
  <c r="U2912" i="34"/>
  <c r="Z2912" i="34"/>
  <c r="U2916" i="34"/>
  <c r="Z2916" i="34"/>
  <c r="U2921" i="34"/>
  <c r="Z2921" i="34"/>
  <c r="U3188" i="34"/>
  <c r="Z3188" i="34"/>
  <c r="U3196" i="34"/>
  <c r="Z3196" i="34"/>
  <c r="U3204" i="34"/>
  <c r="Z3204" i="34"/>
  <c r="U3212" i="34"/>
  <c r="Z3212" i="34"/>
  <c r="U3220" i="34"/>
  <c r="Z3220" i="34"/>
  <c r="U3232" i="34"/>
  <c r="Z3232" i="34"/>
  <c r="U3240" i="34"/>
  <c r="Z3240" i="34"/>
  <c r="U3248" i="34"/>
  <c r="Z3248" i="34"/>
  <c r="U3256" i="34"/>
  <c r="Z3256" i="34"/>
  <c r="U3264" i="34"/>
  <c r="Z3264" i="34"/>
  <c r="U3272" i="34"/>
  <c r="Z3272" i="34"/>
  <c r="U3280" i="34"/>
  <c r="Z3280" i="34"/>
  <c r="U3288" i="34"/>
  <c r="Z3288" i="34"/>
  <c r="U3296" i="34"/>
  <c r="Z3296" i="34"/>
  <c r="U3069" i="34"/>
  <c r="Z3069" i="34"/>
  <c r="U3077" i="34"/>
  <c r="Z3077" i="34"/>
  <c r="U3085" i="34"/>
  <c r="Z3085" i="34"/>
  <c r="U2987" i="34"/>
  <c r="Z2987" i="34"/>
  <c r="U3095" i="34"/>
  <c r="Z3095" i="34"/>
  <c r="U3099" i="34"/>
  <c r="Z3099" i="34"/>
  <c r="U3103" i="34"/>
  <c r="Z3103" i="34"/>
  <c r="U3107" i="34"/>
  <c r="Z3107" i="34"/>
  <c r="U3111" i="34"/>
  <c r="Z3111" i="34"/>
  <c r="U3115" i="34"/>
  <c r="Z3115" i="34"/>
  <c r="U3119" i="34"/>
  <c r="Z3119" i="34"/>
  <c r="U3123" i="34"/>
  <c r="Z3123" i="34"/>
  <c r="U3128" i="34"/>
  <c r="Z3128" i="34"/>
  <c r="U3131" i="34"/>
  <c r="Z3131" i="34"/>
  <c r="U3135" i="34"/>
  <c r="Z3135" i="34"/>
  <c r="U3139" i="34"/>
  <c r="Z3139" i="34"/>
  <c r="U3143" i="34"/>
  <c r="Z3143" i="34"/>
  <c r="U3147" i="34"/>
  <c r="Z3147" i="34"/>
  <c r="U3151" i="34"/>
  <c r="Z3151" i="34"/>
  <c r="U3165" i="34"/>
  <c r="Z3165" i="34"/>
  <c r="U3169" i="34"/>
  <c r="Z3169" i="34"/>
  <c r="U3173" i="34"/>
  <c r="Z3173" i="34"/>
  <c r="A3177" i="34"/>
  <c r="U3177" i="34"/>
  <c r="Z3177" i="34"/>
  <c r="U3181" i="34"/>
  <c r="Z3181" i="34"/>
  <c r="U2929" i="34"/>
  <c r="Z2929" i="34"/>
  <c r="U2933" i="34"/>
  <c r="Z2933" i="34"/>
  <c r="U2937" i="34"/>
  <c r="Z2937" i="34"/>
  <c r="U2941" i="34"/>
  <c r="Z2941" i="34"/>
  <c r="U2945" i="34"/>
  <c r="Z2945" i="34"/>
  <c r="U2949" i="34"/>
  <c r="Z2949" i="34"/>
  <c r="U2953" i="34"/>
  <c r="Z2953" i="34"/>
  <c r="U2957" i="34"/>
  <c r="Z2957" i="34"/>
  <c r="U2961" i="34"/>
  <c r="Z2961" i="34"/>
  <c r="U2965" i="34"/>
  <c r="Z2965" i="34"/>
  <c r="U2969" i="34"/>
  <c r="Z2969" i="34"/>
  <c r="U2973" i="34"/>
  <c r="Z2973" i="34"/>
  <c r="U2977" i="34"/>
  <c r="Z2977" i="34"/>
  <c r="U2981" i="34"/>
  <c r="Z2981" i="34"/>
  <c r="U2995" i="34"/>
  <c r="Z2995" i="34"/>
  <c r="U2999" i="34"/>
  <c r="Z2999" i="34"/>
  <c r="U3003" i="34"/>
  <c r="Z3003" i="34"/>
  <c r="U3007" i="34"/>
  <c r="Z3007" i="34"/>
  <c r="U3011" i="34"/>
  <c r="Z3011" i="34"/>
  <c r="U3015" i="34"/>
  <c r="Z3015" i="34"/>
  <c r="U3019" i="34"/>
  <c r="Z3019" i="34"/>
  <c r="U3023" i="34"/>
  <c r="Z3023" i="34"/>
  <c r="U3027" i="34"/>
  <c r="Z3027" i="34"/>
  <c r="U3031" i="34"/>
  <c r="Z3031" i="34"/>
  <c r="U3035" i="34"/>
  <c r="Z3035" i="34"/>
  <c r="U3039" i="34"/>
  <c r="Z3039" i="34"/>
  <c r="U3043" i="34"/>
  <c r="Z3043" i="34"/>
  <c r="U3047" i="34"/>
  <c r="Z3047" i="34"/>
  <c r="U3051" i="34"/>
  <c r="Z3051" i="34"/>
  <c r="U3055" i="34"/>
  <c r="Z3055" i="34"/>
  <c r="U3059" i="34"/>
  <c r="Z3059" i="34"/>
  <c r="U3063" i="34"/>
  <c r="Z3063" i="34"/>
  <c r="U2801" i="34"/>
  <c r="Z2801" i="34"/>
  <c r="U2805" i="34"/>
  <c r="Z2805" i="34"/>
  <c r="U2809" i="34"/>
  <c r="Z2809" i="34"/>
  <c r="U2813" i="34"/>
  <c r="Z2813" i="34"/>
  <c r="U2817" i="34"/>
  <c r="Z2817" i="34"/>
  <c r="U2821" i="34"/>
  <c r="Z2821" i="34"/>
  <c r="U2825" i="34"/>
  <c r="Z2825" i="34"/>
  <c r="U2829" i="34"/>
  <c r="Z2829" i="34"/>
  <c r="U2833" i="34"/>
  <c r="Z2833" i="34"/>
  <c r="U2837" i="34"/>
  <c r="Z2837" i="34"/>
  <c r="U2841" i="34"/>
  <c r="Z2841" i="34"/>
  <c r="U2845" i="34"/>
  <c r="Z2845" i="34"/>
  <c r="U2849" i="34"/>
  <c r="Z2849" i="34"/>
  <c r="U2853" i="34"/>
  <c r="Z2853" i="34"/>
  <c r="U2857" i="34"/>
  <c r="Z2857" i="34"/>
  <c r="U2861" i="34"/>
  <c r="Z2861" i="34"/>
  <c r="U2865" i="34"/>
  <c r="Z2865" i="34"/>
  <c r="U2869" i="34"/>
  <c r="Z2869" i="34"/>
  <c r="U2873" i="34"/>
  <c r="Z2873" i="34"/>
  <c r="U2877" i="34"/>
  <c r="Z2877" i="34"/>
  <c r="U2881" i="34"/>
  <c r="Z2881" i="34"/>
  <c r="U2885" i="34"/>
  <c r="Z2885" i="34"/>
  <c r="U2889" i="34"/>
  <c r="Z2889" i="34"/>
  <c r="U2893" i="34"/>
  <c r="Z2893" i="34"/>
  <c r="U2897" i="34"/>
  <c r="Z2897" i="34"/>
  <c r="U2901" i="34"/>
  <c r="Z2901" i="34"/>
  <c r="U2905" i="34"/>
  <c r="Z2905" i="34"/>
  <c r="U2909" i="34"/>
  <c r="Z2909" i="34"/>
  <c r="U2913" i="34"/>
  <c r="Z2913" i="34"/>
  <c r="U2917" i="34"/>
  <c r="Z2917" i="34"/>
  <c r="U2923" i="34"/>
  <c r="Z2923" i="34"/>
  <c r="U3184" i="34"/>
  <c r="Z3184" i="34"/>
  <c r="U3192" i="34"/>
  <c r="Z3192" i="34"/>
  <c r="U3200" i="34"/>
  <c r="Z3200" i="34"/>
  <c r="U3208" i="34"/>
  <c r="Z3208" i="34"/>
  <c r="U3216" i="34"/>
  <c r="Z3216" i="34"/>
  <c r="U3224" i="34"/>
  <c r="Z3224" i="34"/>
  <c r="U3228" i="34"/>
  <c r="Z3228" i="34"/>
  <c r="U3236" i="34"/>
  <c r="Z3236" i="34"/>
  <c r="U3244" i="34"/>
  <c r="Z3244" i="34"/>
  <c r="U3252" i="34"/>
  <c r="Z3252" i="34"/>
  <c r="U3260" i="34"/>
  <c r="Z3260" i="34"/>
  <c r="U3268" i="34"/>
  <c r="Z3268" i="34"/>
  <c r="U3276" i="34"/>
  <c r="Z3276" i="34"/>
  <c r="U3284" i="34"/>
  <c r="Z3284" i="34"/>
  <c r="U3292" i="34"/>
  <c r="Z3292" i="34"/>
  <c r="U3300" i="34"/>
  <c r="Z3300" i="34"/>
  <c r="U3073" i="34"/>
  <c r="Z3073" i="34"/>
  <c r="U3081" i="34"/>
  <c r="Z3081" i="34"/>
  <c r="U3089" i="34"/>
  <c r="Z3089" i="34"/>
  <c r="U3091" i="34"/>
  <c r="Z3091" i="34"/>
  <c r="U2992" i="34"/>
  <c r="Z2992" i="34"/>
  <c r="U3185" i="34"/>
  <c r="Z3185" i="34"/>
  <c r="U3189" i="34"/>
  <c r="Z3189" i="34"/>
  <c r="U3193" i="34"/>
  <c r="Z3193" i="34"/>
  <c r="U3197" i="34"/>
  <c r="Z3197" i="34"/>
  <c r="U3201" i="34"/>
  <c r="Z3201" i="34"/>
  <c r="U3205" i="34"/>
  <c r="Z3205" i="34"/>
  <c r="U3209" i="34"/>
  <c r="Z3209" i="34"/>
  <c r="U3213" i="34"/>
  <c r="Z3213" i="34"/>
  <c r="U3217" i="34"/>
  <c r="Z3217" i="34"/>
  <c r="U3221" i="34"/>
  <c r="Z3221" i="34"/>
  <c r="U3225" i="34"/>
  <c r="Z3225" i="34"/>
  <c r="U3229" i="34"/>
  <c r="Z3229" i="34"/>
  <c r="U3233" i="34"/>
  <c r="Z3233" i="34"/>
  <c r="U3237" i="34"/>
  <c r="Z3237" i="34"/>
  <c r="U3241" i="34"/>
  <c r="Z3241" i="34"/>
  <c r="U3245" i="34"/>
  <c r="Z3245" i="34"/>
  <c r="U3249" i="34"/>
  <c r="Z3249" i="34"/>
  <c r="U3253" i="34"/>
  <c r="Z3253" i="34"/>
  <c r="U3257" i="34"/>
  <c r="Z3257" i="34"/>
  <c r="U3261" i="34"/>
  <c r="Z3261" i="34"/>
  <c r="U3265" i="34"/>
  <c r="Z3265" i="34"/>
  <c r="U3269" i="34"/>
  <c r="Z3269" i="34"/>
  <c r="U3273" i="34"/>
  <c r="Z3273" i="34"/>
  <c r="U3277" i="34"/>
  <c r="Z3277" i="34"/>
  <c r="U3281" i="34"/>
  <c r="Z3281" i="34"/>
  <c r="A3285" i="34"/>
  <c r="U3285" i="34"/>
  <c r="Z3285" i="34"/>
  <c r="U3289" i="34"/>
  <c r="Z3289" i="34"/>
  <c r="A3293" i="34"/>
  <c r="U3293" i="34"/>
  <c r="Z3293" i="34"/>
  <c r="U3297" i="34"/>
  <c r="Z3297" i="34"/>
  <c r="U3066" i="34"/>
  <c r="Z3066" i="34"/>
  <c r="U3070" i="34"/>
  <c r="Z3070" i="34"/>
  <c r="U3074" i="34"/>
  <c r="Z3074" i="34"/>
  <c r="U3078" i="34"/>
  <c r="Z3078" i="34"/>
  <c r="U3082" i="34"/>
  <c r="Z3082" i="34"/>
  <c r="U3086" i="34"/>
  <c r="Z3086" i="34"/>
  <c r="U2984" i="34"/>
  <c r="Z2984" i="34"/>
  <c r="U2988" i="34"/>
  <c r="Z2988" i="34"/>
  <c r="U3092" i="34"/>
  <c r="Z3092" i="34"/>
  <c r="U3096" i="34"/>
  <c r="Z3096" i="34"/>
  <c r="U3100" i="34"/>
  <c r="Z3100" i="34"/>
  <c r="U3104" i="34"/>
  <c r="Z3104" i="34"/>
  <c r="U3108" i="34"/>
  <c r="Z3108" i="34"/>
  <c r="U3112" i="34"/>
  <c r="Z3112" i="34"/>
  <c r="U3116" i="34"/>
  <c r="Z3116" i="34"/>
  <c r="U3120" i="34"/>
  <c r="Z3120" i="34"/>
  <c r="U3124" i="34"/>
  <c r="Z3124" i="34"/>
  <c r="U3125" i="34"/>
  <c r="Z3125" i="34"/>
  <c r="U3129" i="34"/>
  <c r="Z3129" i="34"/>
  <c r="U3132" i="34"/>
  <c r="Z3132" i="34"/>
  <c r="U3136" i="34"/>
  <c r="Z3136" i="34"/>
  <c r="U3140" i="34"/>
  <c r="Z3140" i="34"/>
  <c r="U3144" i="34"/>
  <c r="Z3144" i="34"/>
  <c r="U3148" i="34"/>
  <c r="Z3148" i="34"/>
  <c r="U3152" i="34"/>
  <c r="Z3152" i="34"/>
  <c r="U3166" i="34"/>
  <c r="Z3166" i="34"/>
  <c r="U3170" i="34"/>
  <c r="Z3170" i="34"/>
  <c r="U3174" i="34"/>
  <c r="Z3174" i="34"/>
  <c r="A3178" i="34"/>
  <c r="U3178" i="34"/>
  <c r="Z3178" i="34"/>
  <c r="U3182" i="34"/>
  <c r="Z3182" i="34"/>
  <c r="U2930" i="34"/>
  <c r="Z2930" i="34"/>
  <c r="U2934" i="34"/>
  <c r="Z2934" i="34"/>
  <c r="U2938" i="34"/>
  <c r="Z2938" i="34"/>
  <c r="U2942" i="34"/>
  <c r="Z2942" i="34"/>
  <c r="U2946" i="34"/>
  <c r="Z2946" i="34"/>
  <c r="U2950" i="34"/>
  <c r="Z2950" i="34"/>
  <c r="U2954" i="34"/>
  <c r="Z2954" i="34"/>
  <c r="U2958" i="34"/>
  <c r="Z2958" i="34"/>
  <c r="U2962" i="34"/>
  <c r="Z2962" i="34"/>
  <c r="U2966" i="34"/>
  <c r="Z2966" i="34"/>
  <c r="U2970" i="34"/>
  <c r="Z2970" i="34"/>
  <c r="U2974" i="34"/>
  <c r="Z2974" i="34"/>
  <c r="U2978" i="34"/>
  <c r="Z2978" i="34"/>
  <c r="U2982" i="34"/>
  <c r="Z2982" i="34"/>
  <c r="U2996" i="34"/>
  <c r="Z2996" i="34"/>
  <c r="U3000" i="34"/>
  <c r="Z3000" i="34"/>
  <c r="U3004" i="34"/>
  <c r="Z3004" i="34"/>
  <c r="U3008" i="34"/>
  <c r="Z3008" i="34"/>
  <c r="U3012" i="34"/>
  <c r="Z3012" i="34"/>
  <c r="U3016" i="34"/>
  <c r="Z3016" i="34"/>
  <c r="U3020" i="34"/>
  <c r="Z3020" i="34"/>
  <c r="U3024" i="34"/>
  <c r="Z3024" i="34"/>
  <c r="U3028" i="34"/>
  <c r="Z3028" i="34"/>
  <c r="U3032" i="34"/>
  <c r="Z3032" i="34"/>
  <c r="U3036" i="34"/>
  <c r="Z3036" i="34"/>
  <c r="U3040" i="34"/>
  <c r="Z3040" i="34"/>
  <c r="U3044" i="34"/>
  <c r="Z3044" i="34"/>
  <c r="U3048" i="34"/>
  <c r="Z3048" i="34"/>
  <c r="U3052" i="34"/>
  <c r="Z3052" i="34"/>
  <c r="A3056" i="34"/>
  <c r="U3056" i="34"/>
  <c r="Z3056" i="34"/>
  <c r="U3060" i="34"/>
  <c r="Z3060" i="34"/>
  <c r="U3064" i="34"/>
  <c r="Z3064" i="34"/>
  <c r="U2802" i="34"/>
  <c r="Z2802" i="34"/>
  <c r="U2806" i="34"/>
  <c r="Z2806" i="34"/>
  <c r="U2810" i="34"/>
  <c r="Z2810" i="34"/>
  <c r="U2814" i="34"/>
  <c r="Z2814" i="34"/>
  <c r="U2818" i="34"/>
  <c r="Z2818" i="34"/>
  <c r="U2822" i="34"/>
  <c r="Z2822" i="34"/>
  <c r="U2826" i="34"/>
  <c r="Z2826" i="34"/>
  <c r="U2830" i="34"/>
  <c r="Z2830" i="34"/>
  <c r="U2834" i="34"/>
  <c r="Z2834" i="34"/>
  <c r="U2838" i="34"/>
  <c r="Z2838" i="34"/>
  <c r="U2842" i="34"/>
  <c r="Z2842" i="34"/>
  <c r="U2846" i="34"/>
  <c r="Z2846" i="34"/>
  <c r="U2850" i="34"/>
  <c r="Z2850" i="34"/>
  <c r="U2854" i="34"/>
  <c r="Z2854" i="34"/>
  <c r="U2858" i="34"/>
  <c r="Z2858" i="34"/>
  <c r="U2862" i="34"/>
  <c r="Z2862" i="34"/>
  <c r="U2866" i="34"/>
  <c r="Z2866" i="34"/>
  <c r="U2870" i="34"/>
  <c r="Z2870" i="34"/>
  <c r="U2874" i="34"/>
  <c r="Z2874" i="34"/>
  <c r="U2878" i="34"/>
  <c r="Z2878" i="34"/>
  <c r="U2882" i="34"/>
  <c r="Z2882" i="34"/>
  <c r="U2886" i="34"/>
  <c r="Z2886" i="34"/>
  <c r="U2890" i="34"/>
  <c r="Z2890" i="34"/>
  <c r="U2894" i="34"/>
  <c r="Z2894" i="34"/>
  <c r="U2898" i="34"/>
  <c r="Z2898" i="34"/>
  <c r="U2902" i="34"/>
  <c r="Z2902" i="34"/>
  <c r="U2906" i="34"/>
  <c r="Z2906" i="34"/>
  <c r="U2910" i="34"/>
  <c r="Z2910" i="34"/>
  <c r="U2914" i="34"/>
  <c r="Z2914" i="34"/>
  <c r="U2919" i="34"/>
  <c r="Z2919" i="34"/>
  <c r="U2925" i="34"/>
  <c r="Z2925" i="34"/>
  <c r="U2926" i="34"/>
  <c r="Z2926" i="34"/>
  <c r="U2924" i="34"/>
  <c r="Z2924" i="34"/>
  <c r="U2922" i="34"/>
  <c r="Z2922" i="34"/>
  <c r="U2918" i="34"/>
  <c r="Z2918" i="34"/>
  <c r="A3167" i="34"/>
  <c r="A2816" i="34"/>
  <c r="A2868" i="34"/>
  <c r="A3081" i="34"/>
  <c r="A2824" i="34"/>
  <c r="A2815" i="34"/>
  <c r="A3115" i="34"/>
  <c r="A3169" i="34"/>
  <c r="A2899" i="34"/>
  <c r="A3105" i="34"/>
  <c r="A3077" i="34"/>
  <c r="A3149" i="34"/>
  <c r="A3150" i="34"/>
  <c r="A3153" i="34"/>
  <c r="A3183" i="34"/>
  <c r="A2880" i="34"/>
  <c r="A2926" i="34"/>
  <c r="A3073" i="34"/>
  <c r="A3116" i="34"/>
  <c r="A3154" i="34"/>
  <c r="A2933" i="34"/>
  <c r="A2934" i="34"/>
  <c r="A2950" i="34"/>
  <c r="A3049" i="34"/>
  <c r="A2835" i="34"/>
  <c r="A2864" i="34"/>
  <c r="A2865" i="34"/>
  <c r="A2869" i="34"/>
  <c r="A2902" i="34"/>
  <c r="A2910" i="34"/>
  <c r="A3209" i="34"/>
  <c r="A3210" i="34"/>
  <c r="A3107" i="34"/>
  <c r="A3124" i="34"/>
  <c r="A3128" i="34"/>
  <c r="A3135" i="34"/>
  <c r="A2873" i="34"/>
  <c r="A2901" i="34"/>
  <c r="A3029" i="34"/>
  <c r="A2956" i="34"/>
  <c r="A3031" i="34"/>
  <c r="A3035" i="34"/>
  <c r="A3043" i="34"/>
  <c r="A3051" i="34"/>
  <c r="A2831" i="34"/>
  <c r="A2832" i="34"/>
  <c r="A2837" i="34"/>
  <c r="A2925" i="34"/>
  <c r="A3069" i="34"/>
  <c r="A3027" i="34"/>
  <c r="A3032" i="34"/>
  <c r="A3036" i="34"/>
  <c r="A3061" i="34"/>
  <c r="A3063" i="34"/>
  <c r="A3064" i="34"/>
  <c r="A2827" i="34"/>
  <c r="A2828" i="34"/>
  <c r="A2856" i="34"/>
  <c r="A3095" i="34"/>
  <c r="A3100" i="34"/>
  <c r="A3113" i="34"/>
  <c r="A3139" i="34"/>
  <c r="A2962" i="34"/>
  <c r="A2807" i="34"/>
  <c r="A2808" i="34"/>
  <c r="A2876" i="34"/>
  <c r="A2877" i="34"/>
  <c r="A3085" i="34"/>
  <c r="A3089" i="34"/>
  <c r="A3091" i="34"/>
  <c r="A3092" i="34"/>
  <c r="A3121" i="34"/>
  <c r="A3126" i="34"/>
  <c r="A3131" i="34"/>
  <c r="A3145" i="34"/>
  <c r="A3146" i="34"/>
  <c r="A2946" i="34"/>
  <c r="A2947" i="34"/>
  <c r="A2951" i="34"/>
  <c r="A2952" i="34"/>
  <c r="A2963" i="34"/>
  <c r="A3028" i="34"/>
  <c r="A3044" i="34"/>
  <c r="A3052" i="34"/>
  <c r="A3055" i="34"/>
  <c r="A2800" i="34"/>
  <c r="A2819" i="34"/>
  <c r="A2836" i="34"/>
  <c r="A2885" i="34"/>
  <c r="A2889" i="34"/>
  <c r="A2884" i="34"/>
  <c r="A2820" i="34"/>
  <c r="A2823" i="34"/>
  <c r="A2857" i="34"/>
  <c r="A2860" i="34"/>
  <c r="A2861" i="34"/>
  <c r="A2881" i="34"/>
  <c r="A2987" i="34"/>
  <c r="A3096" i="34"/>
  <c r="A3099" i="34"/>
  <c r="A3108" i="34"/>
  <c r="A3123" i="34"/>
  <c r="A3170" i="34"/>
  <c r="A2890" i="34"/>
  <c r="A2923" i="34"/>
  <c r="A2909" i="34"/>
  <c r="A2915" i="34"/>
  <c r="A2917" i="34"/>
  <c r="A2918" i="34"/>
  <c r="A2907" i="34"/>
  <c r="A3071" i="34"/>
  <c r="A3079" i="34"/>
  <c r="A3087" i="34"/>
  <c r="A2989" i="34"/>
  <c r="A3101" i="34"/>
  <c r="A3109" i="34"/>
  <c r="A3111" i="34"/>
  <c r="A3112" i="34"/>
  <c r="A2990" i="34"/>
  <c r="A2992" i="34"/>
  <c r="A3133" i="34"/>
  <c r="A3141" i="34"/>
  <c r="A3171" i="34"/>
  <c r="A3173" i="34"/>
  <c r="A3174" i="34"/>
  <c r="A3181" i="34"/>
  <c r="A3075" i="34"/>
  <c r="A3083" i="34"/>
  <c r="A2985" i="34"/>
  <c r="A3103" i="34"/>
  <c r="A3104" i="34"/>
  <c r="A3117" i="34"/>
  <c r="A3119" i="34"/>
  <c r="A3120" i="34"/>
  <c r="A2993" i="34"/>
  <c r="A3137" i="34"/>
  <c r="A3142" i="34"/>
  <c r="A3165" i="34"/>
  <c r="A3166" i="34"/>
  <c r="A3179" i="34"/>
  <c r="A3182" i="34"/>
  <c r="A2935" i="34"/>
  <c r="A2970" i="34"/>
  <c r="A2974" i="34"/>
  <c r="A2975" i="34"/>
  <c r="A3000" i="34"/>
  <c r="A3001" i="34"/>
  <c r="A3008" i="34"/>
  <c r="A3009" i="34"/>
  <c r="A3016" i="34"/>
  <c r="A3017" i="34"/>
  <c r="A3024" i="34"/>
  <c r="A3037" i="34"/>
  <c r="A3045" i="34"/>
  <c r="A3047" i="34"/>
  <c r="A3048" i="34"/>
  <c r="A3059" i="34"/>
  <c r="A3065" i="34"/>
  <c r="A2845" i="34"/>
  <c r="A2848" i="34"/>
  <c r="A3057" i="34"/>
  <c r="A3060" i="34"/>
  <c r="A2844" i="34"/>
  <c r="A2982" i="34"/>
  <c r="A2983" i="34"/>
  <c r="A3004" i="34"/>
  <c r="A3005" i="34"/>
  <c r="A3012" i="34"/>
  <c r="A3013" i="34"/>
  <c r="A3020" i="34"/>
  <c r="A3021" i="34"/>
  <c r="A3025" i="34"/>
  <c r="A3039" i="34"/>
  <c r="A3040" i="34"/>
  <c r="A2849" i="34"/>
  <c r="A2852" i="34"/>
  <c r="A2891" i="34"/>
  <c r="A2903" i="34"/>
  <c r="A2905" i="34"/>
  <c r="A2906" i="34"/>
  <c r="A2919" i="34"/>
  <c r="A2921" i="34"/>
  <c r="A2922" i="34"/>
  <c r="A2840" i="34"/>
  <c r="A2841" i="34"/>
  <c r="A2893" i="34"/>
  <c r="A2894" i="34"/>
  <c r="A2897" i="34"/>
  <c r="A2898" i="34"/>
  <c r="A2911" i="34"/>
  <c r="A2913" i="34"/>
  <c r="A2914" i="34"/>
  <c r="A2927" i="34"/>
  <c r="A3233" i="34"/>
  <c r="A3225" i="34"/>
  <c r="A3226" i="34"/>
  <c r="A2929" i="34"/>
  <c r="A2930" i="34"/>
  <c r="A2938" i="34"/>
  <c r="A2939" i="34"/>
  <c r="A2942" i="34"/>
  <c r="A2943" i="34"/>
  <c r="A2948" i="34"/>
  <c r="A2958" i="34"/>
  <c r="A2959" i="34"/>
  <c r="A2966" i="34"/>
  <c r="A2967" i="34"/>
  <c r="A2978" i="34"/>
  <c r="A2979" i="34"/>
  <c r="A2996" i="34"/>
  <c r="A2997" i="34"/>
  <c r="A2802" i="34"/>
  <c r="A2806" i="34"/>
  <c r="A2810" i="34"/>
  <c r="A2814" i="34"/>
  <c r="A2818" i="34"/>
  <c r="A2822" i="34"/>
  <c r="A2826" i="34"/>
  <c r="A2830" i="34"/>
  <c r="A2834" i="34"/>
  <c r="A2838" i="34"/>
  <c r="A2842" i="34"/>
  <c r="A2853" i="34"/>
  <c r="A2940" i="34"/>
  <c r="A2944" i="34"/>
  <c r="A2954" i="34"/>
  <c r="A2955" i="34"/>
  <c r="A2801" i="34"/>
  <c r="A2805" i="34"/>
  <c r="A2809" i="34"/>
  <c r="A2813" i="34"/>
  <c r="A2817" i="34"/>
  <c r="A2821" i="34"/>
  <c r="A2825" i="34"/>
  <c r="A2829" i="34"/>
  <c r="A2833" i="34"/>
  <c r="A2839" i="34"/>
  <c r="A2843" i="34"/>
  <c r="A2846" i="34"/>
  <c r="A2850" i="34"/>
  <c r="A2854" i="34"/>
  <c r="A2847" i="34"/>
  <c r="A2851" i="34"/>
  <c r="A2855" i="34"/>
  <c r="A2859" i="34"/>
  <c r="A2863" i="34"/>
  <c r="A2867" i="34"/>
  <c r="A2871" i="34"/>
  <c r="A2875" i="34"/>
  <c r="A2879" i="34"/>
  <c r="A2883" i="34"/>
  <c r="A2886" i="34"/>
  <c r="A2896" i="34"/>
  <c r="A2858" i="34"/>
  <c r="A2862" i="34"/>
  <c r="A2866" i="34"/>
  <c r="A2870" i="34"/>
  <c r="A2874" i="34"/>
  <c r="A2878" i="34"/>
  <c r="A2882" i="34"/>
  <c r="A2887" i="34"/>
  <c r="A2895" i="34"/>
  <c r="A2888" i="34"/>
  <c r="A2892" i="34"/>
  <c r="A2900" i="34"/>
  <c r="A2904" i="34"/>
  <c r="A2908" i="34"/>
  <c r="A2912" i="34"/>
  <c r="A2916" i="34"/>
  <c r="A2920" i="34"/>
  <c r="A2924" i="34"/>
  <c r="A3193" i="34"/>
  <c r="A3194" i="34"/>
  <c r="A3217" i="34"/>
  <c r="A3218" i="34"/>
  <c r="A3234" i="34"/>
  <c r="A3185" i="34"/>
  <c r="A3186" i="34"/>
  <c r="A3250" i="34"/>
  <c r="A3274" i="34"/>
  <c r="A3201" i="34"/>
  <c r="A3202" i="34"/>
  <c r="A3251" i="34"/>
  <c r="A3270" i="34"/>
  <c r="A3273" i="34"/>
  <c r="A2928" i="34"/>
  <c r="A2932" i="34"/>
  <c r="A2936" i="34"/>
  <c r="A2971" i="34"/>
  <c r="A3297" i="34"/>
  <c r="A2960" i="34"/>
  <c r="A2964" i="34"/>
  <c r="A2968" i="34"/>
  <c r="A2976" i="34"/>
  <c r="A3289" i="34"/>
  <c r="A2937" i="34"/>
  <c r="A2941" i="34"/>
  <c r="A2945" i="34"/>
  <c r="A2949" i="34"/>
  <c r="A2953" i="34"/>
  <c r="A2957" i="34"/>
  <c r="A2961" i="34"/>
  <c r="A2965" i="34"/>
  <c r="A2972" i="34"/>
  <c r="A2969" i="34"/>
  <c r="A2973" i="34"/>
  <c r="A2977" i="34"/>
  <c r="A2981" i="34"/>
  <c r="A2995" i="34"/>
  <c r="A2999" i="34"/>
  <c r="A3003" i="34"/>
  <c r="A3007" i="34"/>
  <c r="A3011" i="34"/>
  <c r="A3015" i="34"/>
  <c r="A3019" i="34"/>
  <c r="A3023" i="34"/>
  <c r="A3026" i="34"/>
  <c r="A3034" i="34"/>
  <c r="A3042" i="34"/>
  <c r="A2980" i="34"/>
  <c r="A2994" i="34"/>
  <c r="A2998" i="34"/>
  <c r="A3002" i="34"/>
  <c r="A3006" i="34"/>
  <c r="A3010" i="34"/>
  <c r="A3014" i="34"/>
  <c r="A3018" i="34"/>
  <c r="A3022" i="34"/>
  <c r="A3033" i="34"/>
  <c r="A3041" i="34"/>
  <c r="A3030" i="34"/>
  <c r="A3038" i="34"/>
  <c r="A3046" i="34"/>
  <c r="A3050" i="34"/>
  <c r="A3054" i="34"/>
  <c r="A3058" i="34"/>
  <c r="A3062" i="34"/>
  <c r="A3231" i="34"/>
  <c r="A3238" i="34"/>
  <c r="A3242" i="34"/>
  <c r="A3255" i="34"/>
  <c r="A3189" i="34"/>
  <c r="A3190" i="34"/>
  <c r="A3197" i="34"/>
  <c r="A3198" i="34"/>
  <c r="A3205" i="34"/>
  <c r="A3206" i="34"/>
  <c r="A3213" i="34"/>
  <c r="A3214" i="34"/>
  <c r="A3221" i="34"/>
  <c r="A3222" i="34"/>
  <c r="A3229" i="34"/>
  <c r="A3230" i="34"/>
  <c r="A3258" i="34"/>
  <c r="A3247" i="34"/>
  <c r="A3259" i="34"/>
  <c r="A3267" i="34"/>
  <c r="A3278" i="34"/>
  <c r="A3281" i="34"/>
  <c r="A3254" i="34"/>
  <c r="A3266" i="34"/>
  <c r="A3277" i="34"/>
  <c r="A3066" i="34"/>
  <c r="A3070" i="34"/>
  <c r="A3074" i="34"/>
  <c r="A3078" i="34"/>
  <c r="A3082" i="34"/>
  <c r="A3086" i="34"/>
  <c r="A2984" i="34"/>
  <c r="A2988" i="34"/>
  <c r="A3097" i="34"/>
  <c r="A3094" i="34"/>
  <c r="A3106" i="34"/>
  <c r="A3262" i="34"/>
  <c r="A3263" i="34"/>
  <c r="A3271" i="34"/>
  <c r="A3275" i="34"/>
  <c r="A3068" i="34"/>
  <c r="A3072" i="34"/>
  <c r="A3076" i="34"/>
  <c r="A3080" i="34"/>
  <c r="A3084" i="34"/>
  <c r="A3088" i="34"/>
  <c r="A2986" i="34"/>
  <c r="A3090" i="34"/>
  <c r="A3093" i="34"/>
  <c r="A3067" i="34"/>
  <c r="A3098" i="34"/>
  <c r="A3102" i="34"/>
  <c r="A3110" i="34"/>
  <c r="A3114" i="34"/>
  <c r="A3118" i="34"/>
  <c r="A3122" i="34"/>
  <c r="A2991" i="34"/>
  <c r="A3127" i="34"/>
  <c r="A3130" i="34"/>
  <c r="A3134" i="34"/>
  <c r="A3138" i="34"/>
  <c r="A3143" i="34"/>
  <c r="A3151" i="34"/>
  <c r="A3144" i="34"/>
  <c r="A3148" i="34"/>
  <c r="A3125" i="34"/>
  <c r="A3129" i="34"/>
  <c r="A3132" i="34"/>
  <c r="A3136" i="34"/>
  <c r="A3140" i="34"/>
  <c r="A3147" i="34"/>
  <c r="A3152" i="34"/>
  <c r="A3168" i="34"/>
  <c r="A3172" i="34"/>
  <c r="A3176" i="34"/>
  <c r="A3180" i="34"/>
  <c r="A3184" i="34"/>
  <c r="A3188" i="34"/>
  <c r="A3192" i="34"/>
  <c r="A3196" i="34"/>
  <c r="A3200" i="34"/>
  <c r="A3204" i="34"/>
  <c r="A3208" i="34"/>
  <c r="A3212" i="34"/>
  <c r="A3216" i="34"/>
  <c r="A3220" i="34"/>
  <c r="A3224" i="34"/>
  <c r="A3228" i="34"/>
  <c r="A3235" i="34"/>
  <c r="A3239" i="34"/>
  <c r="A3243" i="34"/>
  <c r="A3187" i="34"/>
  <c r="A3191" i="34"/>
  <c r="A3195" i="34"/>
  <c r="A3199" i="34"/>
  <c r="A3203" i="34"/>
  <c r="A3207" i="34"/>
  <c r="A3211" i="34"/>
  <c r="A3215" i="34"/>
  <c r="A3219" i="34"/>
  <c r="A3223" i="34"/>
  <c r="A3227" i="34"/>
  <c r="A3232" i="34"/>
  <c r="A3244" i="34"/>
  <c r="A3236" i="34"/>
  <c r="A3240" i="34"/>
  <c r="A3237" i="34"/>
  <c r="A3241" i="34"/>
  <c r="A3245" i="34"/>
  <c r="A3249" i="34"/>
  <c r="A3253" i="34"/>
  <c r="A3257" i="34"/>
  <c r="A3261" i="34"/>
  <c r="A3265" i="34"/>
  <c r="A3269" i="34"/>
  <c r="A3272" i="34"/>
  <c r="A3282" i="34"/>
  <c r="A3248" i="34"/>
  <c r="A3252" i="34"/>
  <c r="A3256" i="34"/>
  <c r="A3260" i="34"/>
  <c r="A3264" i="34"/>
  <c r="A3268" i="34"/>
  <c r="A3279" i="34"/>
  <c r="A3283" i="34"/>
  <c r="A3276" i="34"/>
  <c r="A3280" i="34"/>
  <c r="A3284" i="34"/>
  <c r="A3288" i="34"/>
  <c r="A3292" i="34"/>
  <c r="A3296" i="34"/>
  <c r="A3300" i="34"/>
  <c r="A3287" i="34"/>
  <c r="A3291" i="34"/>
  <c r="A3295" i="34"/>
  <c r="A3299" i="34"/>
  <c r="A3286" i="34"/>
  <c r="A3290" i="34"/>
  <c r="A3294" i="34"/>
  <c r="A3298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393" i="34"/>
  <c r="C2394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C2010" i="34" l="1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T210" i="60" l="1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1815" i="34"/>
  <c r="R30" i="60"/>
  <c r="R24" i="60" l="1"/>
  <c r="R81" i="60"/>
  <c r="S84" i="60"/>
  <c r="R94" i="60"/>
  <c r="R104" i="60"/>
  <c r="R105" i="60"/>
  <c r="R106" i="60"/>
  <c r="R109" i="60"/>
  <c r="R110" i="60"/>
  <c r="R113" i="60"/>
  <c r="R115" i="60"/>
  <c r="R116" i="60"/>
  <c r="R118" i="60"/>
  <c r="R164" i="60"/>
  <c r="R187" i="60"/>
  <c r="O33" i="60" l="1"/>
  <c r="O34" i="60"/>
  <c r="K1816" i="34" l="1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1815" i="34"/>
  <c r="K1812" i="34" l="1"/>
  <c r="K1813" i="34"/>
  <c r="K1814" i="34"/>
  <c r="C1811" i="34"/>
  <c r="C1812" i="34"/>
  <c r="C1813" i="34"/>
  <c r="C1814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798" i="34"/>
  <c r="B1367" i="34" l="1"/>
  <c r="U1367" i="34" l="1"/>
  <c r="Z1367" i="34"/>
  <c r="T1367" i="34"/>
  <c r="R1367" i="34"/>
  <c r="S1367" i="34"/>
  <c r="A1367" i="34"/>
  <c r="C1141" i="34"/>
  <c r="C1208" i="34"/>
  <c r="C1050" i="34"/>
  <c r="C1109" i="34"/>
  <c r="C981" i="34"/>
  <c r="C753" i="34"/>
  <c r="C869" i="34"/>
  <c r="C1020" i="34"/>
  <c r="C752" i="34"/>
  <c r="C770" i="34"/>
  <c r="C734" i="34"/>
  <c r="C680" i="34"/>
  <c r="B680" i="34" s="1"/>
  <c r="C581" i="34"/>
  <c r="J18" i="64"/>
  <c r="K18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O460" i="60"/>
  <c r="O461" i="60"/>
  <c r="O462" i="60"/>
  <c r="O463" i="60"/>
  <c r="O464" i="60"/>
  <c r="O465" i="60"/>
  <c r="O466" i="60"/>
  <c r="O467" i="60"/>
  <c r="O468" i="60"/>
  <c r="O469" i="60"/>
  <c r="O470" i="60"/>
  <c r="O471" i="60"/>
  <c r="O472" i="60"/>
  <c r="O473" i="60"/>
  <c r="O474" i="60"/>
  <c r="O475" i="60"/>
  <c r="O476" i="60"/>
  <c r="O477" i="60"/>
  <c r="O478" i="60"/>
  <c r="O479" i="60"/>
  <c r="O480" i="60"/>
  <c r="O481" i="60"/>
  <c r="O482" i="60"/>
  <c r="O483" i="60"/>
  <c r="O484" i="60"/>
  <c r="O485" i="60"/>
  <c r="O486" i="60"/>
  <c r="O487" i="60"/>
  <c r="O488" i="60"/>
  <c r="O489" i="60"/>
  <c r="O490" i="60"/>
  <c r="O491" i="60"/>
  <c r="O492" i="60"/>
  <c r="O493" i="60"/>
  <c r="O494" i="60"/>
  <c r="O495" i="60"/>
  <c r="O496" i="60"/>
  <c r="O497" i="60"/>
  <c r="O498" i="60"/>
  <c r="O499" i="60"/>
  <c r="O500" i="60"/>
  <c r="O501" i="60"/>
  <c r="O502" i="60"/>
  <c r="O503" i="60"/>
  <c r="O504" i="60"/>
  <c r="O505" i="60"/>
  <c r="O506" i="60"/>
  <c r="O507" i="60"/>
  <c r="O508" i="60"/>
  <c r="O509" i="60"/>
  <c r="O510" i="60"/>
  <c r="O511" i="60"/>
  <c r="O512" i="60"/>
  <c r="O513" i="60"/>
  <c r="O514" i="60"/>
  <c r="O515" i="60"/>
  <c r="O516" i="60"/>
  <c r="O517" i="60"/>
  <c r="O518" i="60"/>
  <c r="O519" i="60"/>
  <c r="O520" i="60"/>
  <c r="O521" i="60"/>
  <c r="O459" i="60"/>
  <c r="Y478" i="60"/>
  <c r="T478" i="60"/>
  <c r="C478" i="60" s="1"/>
  <c r="Y477" i="60"/>
  <c r="T477" i="60"/>
  <c r="C477" i="60" s="1"/>
  <c r="Y476" i="60"/>
  <c r="T476" i="60"/>
  <c r="C476" i="60" s="1"/>
  <c r="Y475" i="60"/>
  <c r="T475" i="60"/>
  <c r="C475" i="60" s="1"/>
  <c r="Y474" i="60"/>
  <c r="T474" i="60"/>
  <c r="C474" i="60" s="1"/>
  <c r="Y473" i="60"/>
  <c r="T473" i="60"/>
  <c r="C473" i="60" s="1"/>
  <c r="Y472" i="60"/>
  <c r="T472" i="60"/>
  <c r="C472" i="60" s="1"/>
  <c r="Y471" i="60"/>
  <c r="T471" i="60"/>
  <c r="C471" i="60" s="1"/>
  <c r="Y470" i="60"/>
  <c r="T470" i="60"/>
  <c r="C470" i="60" s="1"/>
  <c r="Y469" i="60"/>
  <c r="T469" i="60"/>
  <c r="C469" i="60" s="1"/>
  <c r="Y468" i="60"/>
  <c r="T468" i="60"/>
  <c r="C468" i="60" s="1"/>
  <c r="Y467" i="60"/>
  <c r="T467" i="60"/>
  <c r="C467" i="60" s="1"/>
  <c r="Y466" i="60"/>
  <c r="T466" i="60"/>
  <c r="C466" i="60" s="1"/>
  <c r="Y465" i="60"/>
  <c r="T465" i="60"/>
  <c r="C465" i="60" s="1"/>
  <c r="Y464" i="60"/>
  <c r="T464" i="60"/>
  <c r="C464" i="60" s="1"/>
  <c r="Y493" i="60"/>
  <c r="T493" i="60"/>
  <c r="C493" i="60" s="1"/>
  <c r="Y492" i="60"/>
  <c r="T492" i="60"/>
  <c r="C492" i="60" s="1"/>
  <c r="Y491" i="60"/>
  <c r="T491" i="60"/>
  <c r="C491" i="60" s="1"/>
  <c r="Y490" i="60"/>
  <c r="T490" i="60"/>
  <c r="C490" i="60" s="1"/>
  <c r="Y489" i="60"/>
  <c r="T489" i="60"/>
  <c r="C489" i="60" s="1"/>
  <c r="Y488" i="60"/>
  <c r="T488" i="60"/>
  <c r="C488" i="60" s="1"/>
  <c r="Y487" i="60"/>
  <c r="T487" i="60"/>
  <c r="C487" i="60" s="1"/>
  <c r="Y486" i="60"/>
  <c r="T486" i="60"/>
  <c r="C486" i="60" s="1"/>
  <c r="Y485" i="60"/>
  <c r="T485" i="60"/>
  <c r="C485" i="60" s="1"/>
  <c r="Y484" i="60"/>
  <c r="T484" i="60"/>
  <c r="C484" i="60" s="1"/>
  <c r="Y483" i="60"/>
  <c r="T483" i="60"/>
  <c r="C483" i="60" s="1"/>
  <c r="Y482" i="60"/>
  <c r="T482" i="60"/>
  <c r="C482" i="60" s="1"/>
  <c r="Y481" i="60"/>
  <c r="T481" i="60"/>
  <c r="C481" i="60" s="1"/>
  <c r="Y480" i="60"/>
  <c r="T480" i="60"/>
  <c r="C480" i="60" s="1"/>
  <c r="Y479" i="60"/>
  <c r="T479" i="60"/>
  <c r="C479" i="60" s="1"/>
  <c r="Y508" i="60"/>
  <c r="T508" i="60"/>
  <c r="C508" i="60" s="1"/>
  <c r="Y507" i="60"/>
  <c r="T507" i="60"/>
  <c r="C507" i="60" s="1"/>
  <c r="Y506" i="60"/>
  <c r="T506" i="60"/>
  <c r="C506" i="60" s="1"/>
  <c r="Y505" i="60"/>
  <c r="T505" i="60"/>
  <c r="C505" i="60" s="1"/>
  <c r="Y504" i="60"/>
  <c r="T504" i="60"/>
  <c r="C504" i="60" s="1"/>
  <c r="Y503" i="60"/>
  <c r="T503" i="60"/>
  <c r="C503" i="60" s="1"/>
  <c r="Y502" i="60"/>
  <c r="T502" i="60"/>
  <c r="C502" i="60" s="1"/>
  <c r="Y501" i="60"/>
  <c r="T501" i="60"/>
  <c r="C501" i="60" s="1"/>
  <c r="Y500" i="60"/>
  <c r="T500" i="60"/>
  <c r="C500" i="60" s="1"/>
  <c r="Y499" i="60"/>
  <c r="T499" i="60"/>
  <c r="C499" i="60" s="1"/>
  <c r="Y498" i="60"/>
  <c r="T498" i="60"/>
  <c r="C498" i="60" s="1"/>
  <c r="Y497" i="60"/>
  <c r="T497" i="60"/>
  <c r="C497" i="60" s="1"/>
  <c r="Y496" i="60"/>
  <c r="T496" i="60"/>
  <c r="C496" i="60" s="1"/>
  <c r="Y495" i="60"/>
  <c r="T495" i="60"/>
  <c r="C495" i="60" s="1"/>
  <c r="Y494" i="60"/>
  <c r="T494" i="60"/>
  <c r="C494" i="60" s="1"/>
  <c r="Y521" i="60"/>
  <c r="T521" i="60"/>
  <c r="C521" i="60" s="1"/>
  <c r="Y520" i="60"/>
  <c r="T520" i="60"/>
  <c r="C520" i="60" s="1"/>
  <c r="Y519" i="60"/>
  <c r="T519" i="60"/>
  <c r="C519" i="60" s="1"/>
  <c r="Y518" i="60"/>
  <c r="T518" i="60"/>
  <c r="C518" i="60" s="1"/>
  <c r="Y517" i="60"/>
  <c r="T517" i="60"/>
  <c r="C517" i="60" s="1"/>
  <c r="Y516" i="60"/>
  <c r="T516" i="60"/>
  <c r="C516" i="60" s="1"/>
  <c r="Y515" i="60"/>
  <c r="T515" i="60"/>
  <c r="C515" i="60" s="1"/>
  <c r="Y514" i="60"/>
  <c r="T514" i="60"/>
  <c r="C514" i="60" s="1"/>
  <c r="Y513" i="60"/>
  <c r="T513" i="60"/>
  <c r="C513" i="60" s="1"/>
  <c r="Y512" i="60"/>
  <c r="T512" i="60"/>
  <c r="C512" i="60" s="1"/>
  <c r="Y511" i="60"/>
  <c r="T511" i="60"/>
  <c r="C511" i="60" s="1"/>
  <c r="Y510" i="60"/>
  <c r="T510" i="60"/>
  <c r="C510" i="60" s="1"/>
  <c r="Y509" i="60"/>
  <c r="T509" i="60"/>
  <c r="C509" i="60" s="1"/>
  <c r="O379" i="60"/>
  <c r="O380" i="60"/>
  <c r="O381" i="60"/>
  <c r="O382" i="60"/>
  <c r="O383" i="60"/>
  <c r="O384" i="60"/>
  <c r="O385" i="60"/>
  <c r="O386" i="60"/>
  <c r="O387" i="60"/>
  <c r="O388" i="60"/>
  <c r="O389" i="60"/>
  <c r="O390" i="60"/>
  <c r="O391" i="60"/>
  <c r="O392" i="60"/>
  <c r="O393" i="60"/>
  <c r="O394" i="60"/>
  <c r="O395" i="60"/>
  <c r="O396" i="60"/>
  <c r="O397" i="60"/>
  <c r="O398" i="60"/>
  <c r="O399" i="60"/>
  <c r="O400" i="60"/>
  <c r="O401" i="60"/>
  <c r="O402" i="60"/>
  <c r="O403" i="60"/>
  <c r="O404" i="60"/>
  <c r="O405" i="60"/>
  <c r="O406" i="60"/>
  <c r="O407" i="60"/>
  <c r="O408" i="60"/>
  <c r="O409" i="60"/>
  <c r="O410" i="60"/>
  <c r="O411" i="60"/>
  <c r="O412" i="60"/>
  <c r="O413" i="60"/>
  <c r="O414" i="60"/>
  <c r="O415" i="60"/>
  <c r="O416" i="60"/>
  <c r="O417" i="60"/>
  <c r="O418" i="60"/>
  <c r="O419" i="60"/>
  <c r="O420" i="60"/>
  <c r="O421" i="60"/>
  <c r="O422" i="60"/>
  <c r="O423" i="60"/>
  <c r="O424" i="60"/>
  <c r="O425" i="60"/>
  <c r="O426" i="60"/>
  <c r="O427" i="60"/>
  <c r="O428" i="60"/>
  <c r="O429" i="60"/>
  <c r="O430" i="60"/>
  <c r="O431" i="60"/>
  <c r="O432" i="60"/>
  <c r="O433" i="60"/>
  <c r="O434" i="60"/>
  <c r="O435" i="60"/>
  <c r="O436" i="60"/>
  <c r="O437" i="60"/>
  <c r="O438" i="60"/>
  <c r="O439" i="60"/>
  <c r="O440" i="60"/>
  <c r="O441" i="60"/>
  <c r="O442" i="60"/>
  <c r="O443" i="60"/>
  <c r="O444" i="60"/>
  <c r="O445" i="60"/>
  <c r="O446" i="60"/>
  <c r="O447" i="60"/>
  <c r="O448" i="60"/>
  <c r="O449" i="60"/>
  <c r="O450" i="60"/>
  <c r="O378" i="60"/>
  <c r="T430" i="60"/>
  <c r="C430" i="60" s="1"/>
  <c r="T429" i="60"/>
  <c r="C429" i="60" s="1"/>
  <c r="T428" i="60"/>
  <c r="C428" i="60" s="1"/>
  <c r="T427" i="60"/>
  <c r="C427" i="60" s="1"/>
  <c r="T426" i="60"/>
  <c r="C426" i="60" s="1"/>
  <c r="T425" i="60"/>
  <c r="C425" i="60" s="1"/>
  <c r="T424" i="60"/>
  <c r="C424" i="60" s="1"/>
  <c r="T423" i="60"/>
  <c r="C423" i="60" s="1"/>
  <c r="T422" i="60"/>
  <c r="C422" i="60" s="1"/>
  <c r="T421" i="60"/>
  <c r="C421" i="60" s="1"/>
  <c r="T420" i="60"/>
  <c r="C420" i="60" s="1"/>
  <c r="T419" i="60"/>
  <c r="C419" i="60" s="1"/>
  <c r="T418" i="60"/>
  <c r="C418" i="60" s="1"/>
  <c r="T417" i="60"/>
  <c r="C417" i="60" s="1"/>
  <c r="T416" i="60"/>
  <c r="C416" i="60" s="1"/>
  <c r="T415" i="60"/>
  <c r="C415" i="60" s="1"/>
  <c r="T414" i="60"/>
  <c r="C414" i="60" s="1"/>
  <c r="T413" i="60"/>
  <c r="C413" i="60" s="1"/>
  <c r="T412" i="60"/>
  <c r="C412" i="60" s="1"/>
  <c r="T411" i="60"/>
  <c r="C411" i="60" s="1"/>
  <c r="T410" i="60"/>
  <c r="C410" i="60" s="1"/>
  <c r="T409" i="60"/>
  <c r="C409" i="60" s="1"/>
  <c r="T408" i="60"/>
  <c r="C408" i="60" s="1"/>
  <c r="T407" i="60"/>
  <c r="C407" i="60" s="1"/>
  <c r="T406" i="60"/>
  <c r="C406" i="60" s="1"/>
  <c r="T405" i="60"/>
  <c r="C405" i="60" s="1"/>
  <c r="T404" i="60"/>
  <c r="C404" i="60" s="1"/>
  <c r="T403" i="60"/>
  <c r="C403" i="60" s="1"/>
  <c r="T402" i="60"/>
  <c r="C402" i="60" s="1"/>
  <c r="T401" i="60"/>
  <c r="C401" i="60" s="1"/>
  <c r="T400" i="60"/>
  <c r="C400" i="60" s="1"/>
  <c r="T399" i="60"/>
  <c r="C399" i="60" s="1"/>
  <c r="T398" i="60"/>
  <c r="C398" i="60" s="1"/>
  <c r="T397" i="60"/>
  <c r="C397" i="60" s="1"/>
  <c r="T396" i="60"/>
  <c r="C396" i="60" s="1"/>
  <c r="T395" i="60"/>
  <c r="C395" i="60" s="1"/>
  <c r="T393" i="60"/>
  <c r="C393" i="60" s="1"/>
  <c r="T392" i="60"/>
  <c r="C392" i="60" s="1"/>
  <c r="T391" i="60"/>
  <c r="C391" i="60" s="1"/>
  <c r="T390" i="60"/>
  <c r="C390" i="60" s="1"/>
  <c r="T389" i="60"/>
  <c r="C389" i="60" s="1"/>
  <c r="T388" i="60"/>
  <c r="C388" i="60" s="1"/>
  <c r="T387" i="60"/>
  <c r="C387" i="60" s="1"/>
  <c r="T450" i="60"/>
  <c r="C450" i="60" s="1"/>
  <c r="T449" i="60"/>
  <c r="C449" i="60" s="1"/>
  <c r="T448" i="60"/>
  <c r="C448" i="60" s="1"/>
  <c r="T447" i="60"/>
  <c r="C447" i="60" s="1"/>
  <c r="T446" i="60"/>
  <c r="C446" i="60" s="1"/>
  <c r="T445" i="60"/>
  <c r="C445" i="60" s="1"/>
  <c r="T444" i="60"/>
  <c r="C444" i="60" s="1"/>
  <c r="T443" i="60"/>
  <c r="C443" i="60" s="1"/>
  <c r="T442" i="60"/>
  <c r="C442" i="60" s="1"/>
  <c r="T441" i="60"/>
  <c r="C441" i="60" s="1"/>
  <c r="T440" i="60"/>
  <c r="C440" i="60" s="1"/>
  <c r="T439" i="60"/>
  <c r="C439" i="60" s="1"/>
  <c r="T438" i="60"/>
  <c r="C438" i="60" s="1"/>
  <c r="T437" i="60"/>
  <c r="C437" i="60" s="1"/>
  <c r="T436" i="60"/>
  <c r="C436" i="60" s="1"/>
  <c r="T435" i="60"/>
  <c r="C435" i="60" s="1"/>
  <c r="T434" i="60"/>
  <c r="C434" i="60" s="1"/>
  <c r="T433" i="60"/>
  <c r="C433" i="60" s="1"/>
  <c r="T432" i="60"/>
  <c r="C432" i="60" s="1"/>
  <c r="T431" i="60"/>
  <c r="C431" i="60" s="1"/>
  <c r="T386" i="60"/>
  <c r="C386" i="60" s="1"/>
  <c r="T385" i="60"/>
  <c r="C385" i="60" s="1"/>
  <c r="T384" i="60"/>
  <c r="C384" i="60" s="1"/>
  <c r="O200" i="60"/>
  <c r="O201" i="60"/>
  <c r="O202" i="60"/>
  <c r="O203" i="60"/>
  <c r="O204" i="60"/>
  <c r="O205" i="60"/>
  <c r="O206" i="60"/>
  <c r="O207" i="60"/>
  <c r="O208" i="60"/>
  <c r="O209" i="60"/>
  <c r="O210" i="60"/>
  <c r="O211" i="60"/>
  <c r="O212" i="60"/>
  <c r="O213" i="60"/>
  <c r="O214" i="60"/>
  <c r="O215" i="60"/>
  <c r="O216" i="60"/>
  <c r="O217" i="60"/>
  <c r="O218" i="60"/>
  <c r="O219" i="60"/>
  <c r="O220" i="60"/>
  <c r="O221" i="60"/>
  <c r="O222" i="60"/>
  <c r="O223" i="60"/>
  <c r="O224" i="60"/>
  <c r="O225" i="60"/>
  <c r="O226" i="60"/>
  <c r="O227" i="60"/>
  <c r="O228" i="60"/>
  <c r="O229" i="60"/>
  <c r="O230" i="60"/>
  <c r="O231" i="60"/>
  <c r="O232" i="60"/>
  <c r="O233" i="60"/>
  <c r="O234" i="60"/>
  <c r="O235" i="60"/>
  <c r="O236" i="60"/>
  <c r="O237" i="60"/>
  <c r="O238" i="60"/>
  <c r="O239" i="60"/>
  <c r="O240" i="60"/>
  <c r="O241" i="60"/>
  <c r="O242" i="60"/>
  <c r="O243" i="60"/>
  <c r="O244" i="60"/>
  <c r="O245" i="60"/>
  <c r="O246" i="60"/>
  <c r="O247" i="60"/>
  <c r="O248" i="60"/>
  <c r="O249" i="60"/>
  <c r="O250" i="60"/>
  <c r="O251" i="60"/>
  <c r="O252" i="60"/>
  <c r="O253" i="60"/>
  <c r="O254" i="60"/>
  <c r="O255" i="60"/>
  <c r="O256" i="60"/>
  <c r="O257" i="60"/>
  <c r="O258" i="60"/>
  <c r="O259" i="60"/>
  <c r="O260" i="60"/>
  <c r="O261" i="60"/>
  <c r="O262" i="60"/>
  <c r="O263" i="60"/>
  <c r="O264" i="60"/>
  <c r="O265" i="60"/>
  <c r="O266" i="60"/>
  <c r="O267" i="60"/>
  <c r="O268" i="60"/>
  <c r="O269" i="60"/>
  <c r="O270" i="60"/>
  <c r="O271" i="60"/>
  <c r="O272" i="60"/>
  <c r="O273" i="60"/>
  <c r="O274" i="60"/>
  <c r="O275" i="60"/>
  <c r="O276" i="60"/>
  <c r="O277" i="60"/>
  <c r="O278" i="60"/>
  <c r="O279" i="60"/>
  <c r="O280" i="60"/>
  <c r="O281" i="60"/>
  <c r="O282" i="60"/>
  <c r="O283" i="60"/>
  <c r="O284" i="60"/>
  <c r="O285" i="60"/>
  <c r="O286" i="60"/>
  <c r="O287" i="60"/>
  <c r="O288" i="60"/>
  <c r="O289" i="60"/>
  <c r="O290" i="60"/>
  <c r="O291" i="60"/>
  <c r="O292" i="60"/>
  <c r="O293" i="60"/>
  <c r="O294" i="60"/>
  <c r="O295" i="60"/>
  <c r="O296" i="60"/>
  <c r="O297" i="60"/>
  <c r="O298" i="60"/>
  <c r="O299" i="60"/>
  <c r="O300" i="60"/>
  <c r="O301" i="60"/>
  <c r="O302" i="60"/>
  <c r="O303" i="60"/>
  <c r="O304" i="60"/>
  <c r="O305" i="60"/>
  <c r="O306" i="60"/>
  <c r="O307" i="60"/>
  <c r="O308" i="60"/>
  <c r="O309" i="60"/>
  <c r="O310" i="60"/>
  <c r="O311" i="60"/>
  <c r="O312" i="60"/>
  <c r="O313" i="60"/>
  <c r="O314" i="60"/>
  <c r="O315" i="60"/>
  <c r="O316" i="60"/>
  <c r="O317" i="60"/>
  <c r="O318" i="60"/>
  <c r="O319" i="60"/>
  <c r="O320" i="60"/>
  <c r="O321" i="60"/>
  <c r="O322" i="60"/>
  <c r="O323" i="60"/>
  <c r="O324" i="60"/>
  <c r="O325" i="60"/>
  <c r="O326" i="60"/>
  <c r="O327" i="60"/>
  <c r="O328" i="60"/>
  <c r="O329" i="60"/>
  <c r="O330" i="60"/>
  <c r="O331" i="60"/>
  <c r="O332" i="60"/>
  <c r="O333" i="60"/>
  <c r="O334" i="60"/>
  <c r="O335" i="60"/>
  <c r="O336" i="60"/>
  <c r="O337" i="60"/>
  <c r="O338" i="60"/>
  <c r="O339" i="60"/>
  <c r="O340" i="60"/>
  <c r="O341" i="60"/>
  <c r="O342" i="60"/>
  <c r="O343" i="60"/>
  <c r="O344" i="60"/>
  <c r="O345" i="60"/>
  <c r="O346" i="60"/>
  <c r="O347" i="60"/>
  <c r="O348" i="60"/>
  <c r="O349" i="60"/>
  <c r="O350" i="60"/>
  <c r="O351" i="60"/>
  <c r="O352" i="60"/>
  <c r="O353" i="60"/>
  <c r="O354" i="60"/>
  <c r="O355" i="60"/>
  <c r="O356" i="60"/>
  <c r="O357" i="60"/>
  <c r="O358" i="60"/>
  <c r="O359" i="60"/>
  <c r="O360" i="60"/>
  <c r="O361" i="60"/>
  <c r="O362" i="60"/>
  <c r="O363" i="60"/>
  <c r="O364" i="60"/>
  <c r="O365" i="60"/>
  <c r="O366" i="60"/>
  <c r="O367" i="60"/>
  <c r="O368" i="60"/>
  <c r="O369" i="60"/>
  <c r="O199" i="60"/>
  <c r="Y248" i="60"/>
  <c r="T248" i="60"/>
  <c r="C248" i="60" s="1"/>
  <c r="Y247" i="60"/>
  <c r="T247" i="60"/>
  <c r="C247" i="60" s="1"/>
  <c r="Y246" i="60"/>
  <c r="T246" i="60"/>
  <c r="C246" i="60" s="1"/>
  <c r="Y245" i="60"/>
  <c r="T245" i="60"/>
  <c r="C245" i="60" s="1"/>
  <c r="Y244" i="60"/>
  <c r="T244" i="60"/>
  <c r="C244" i="60" s="1"/>
  <c r="Y243" i="60"/>
  <c r="T243" i="60"/>
  <c r="C243" i="60" s="1"/>
  <c r="Y242" i="60"/>
  <c r="T242" i="60"/>
  <c r="C242" i="60" s="1"/>
  <c r="Y241" i="60"/>
  <c r="T241" i="60"/>
  <c r="C241" i="60" s="1"/>
  <c r="Y240" i="60"/>
  <c r="T240" i="60"/>
  <c r="C240" i="60" s="1"/>
  <c r="Y239" i="60"/>
  <c r="T239" i="60"/>
  <c r="C239" i="60" s="1"/>
  <c r="Y238" i="60"/>
  <c r="T238" i="60"/>
  <c r="C238" i="60" s="1"/>
  <c r="Y237" i="60"/>
  <c r="T237" i="60"/>
  <c r="C237" i="60" s="1"/>
  <c r="Y236" i="60"/>
  <c r="T236" i="60"/>
  <c r="C236" i="60" s="1"/>
  <c r="Y235" i="60"/>
  <c r="T235" i="60"/>
  <c r="C235" i="60" s="1"/>
  <c r="Y234" i="60"/>
  <c r="T234" i="60"/>
  <c r="C234" i="60" s="1"/>
  <c r="Y233" i="60"/>
  <c r="T233" i="60"/>
  <c r="C233" i="60" s="1"/>
  <c r="Y232" i="60"/>
  <c r="T232" i="60"/>
  <c r="C232" i="60" s="1"/>
  <c r="Y231" i="60"/>
  <c r="T231" i="60"/>
  <c r="C231" i="60" s="1"/>
  <c r="Y230" i="60"/>
  <c r="T230" i="60"/>
  <c r="C230" i="60" s="1"/>
  <c r="Y229" i="60"/>
  <c r="T229" i="60"/>
  <c r="C229" i="60" s="1"/>
  <c r="Y228" i="60"/>
  <c r="T228" i="60"/>
  <c r="C228" i="60" s="1"/>
  <c r="Y227" i="60"/>
  <c r="T227" i="60"/>
  <c r="C227" i="60" s="1"/>
  <c r="Y226" i="60"/>
  <c r="T226" i="60"/>
  <c r="C226" i="60" s="1"/>
  <c r="Y225" i="60"/>
  <c r="T225" i="60"/>
  <c r="C225" i="60" s="1"/>
  <c r="Y224" i="60"/>
  <c r="T224" i="60"/>
  <c r="C224" i="60" s="1"/>
  <c r="Y223" i="60"/>
  <c r="T223" i="60"/>
  <c r="C223" i="60" s="1"/>
  <c r="Y222" i="60"/>
  <c r="T222" i="60"/>
  <c r="C222" i="60" s="1"/>
  <c r="Y221" i="60"/>
  <c r="T221" i="60"/>
  <c r="C221" i="60" s="1"/>
  <c r="Y220" i="60"/>
  <c r="T220" i="60"/>
  <c r="C220" i="60" s="1"/>
  <c r="Y219" i="60"/>
  <c r="T219" i="60"/>
  <c r="C219" i="60" s="1"/>
  <c r="Y218" i="60"/>
  <c r="T218" i="60"/>
  <c r="C218" i="60" s="1"/>
  <c r="Y217" i="60"/>
  <c r="T217" i="60"/>
  <c r="C217" i="60" s="1"/>
  <c r="Y216" i="60"/>
  <c r="T216" i="60"/>
  <c r="C216" i="60" s="1"/>
  <c r="Y215" i="60"/>
  <c r="T215" i="60"/>
  <c r="C215" i="60" s="1"/>
  <c r="Y214" i="60"/>
  <c r="T214" i="60"/>
  <c r="C214" i="60" s="1"/>
  <c r="Y213" i="60"/>
  <c r="T213" i="60"/>
  <c r="C213" i="60" s="1"/>
  <c r="Y212" i="60"/>
  <c r="T212" i="60"/>
  <c r="C212" i="60" s="1"/>
  <c r="Y211" i="60"/>
  <c r="T211" i="60"/>
  <c r="C211" i="60" s="1"/>
  <c r="Y210" i="60"/>
  <c r="C210" i="60"/>
  <c r="Y209" i="60"/>
  <c r="T209" i="60"/>
  <c r="C209" i="60" s="1"/>
  <c r="Y208" i="60"/>
  <c r="T208" i="60"/>
  <c r="C208" i="60" s="1"/>
  <c r="Y207" i="60"/>
  <c r="T207" i="60"/>
  <c r="C207" i="60" s="1"/>
  <c r="Y290" i="60"/>
  <c r="T290" i="60"/>
  <c r="C290" i="60" s="1"/>
  <c r="Y289" i="60"/>
  <c r="T289" i="60"/>
  <c r="C289" i="60" s="1"/>
  <c r="Y288" i="60"/>
  <c r="T288" i="60"/>
  <c r="C288" i="60" s="1"/>
  <c r="Y287" i="60"/>
  <c r="T287" i="60"/>
  <c r="C287" i="60" s="1"/>
  <c r="Y286" i="60"/>
  <c r="T286" i="60"/>
  <c r="C286" i="60" s="1"/>
  <c r="Y285" i="60"/>
  <c r="T285" i="60"/>
  <c r="C285" i="60" s="1"/>
  <c r="Y284" i="60"/>
  <c r="T284" i="60"/>
  <c r="C284" i="60" s="1"/>
  <c r="Y283" i="60"/>
  <c r="T283" i="60"/>
  <c r="C283" i="60" s="1"/>
  <c r="Y282" i="60"/>
  <c r="T282" i="60"/>
  <c r="C282" i="60" s="1"/>
  <c r="Y281" i="60"/>
  <c r="T281" i="60"/>
  <c r="C281" i="60" s="1"/>
  <c r="Y280" i="60"/>
  <c r="T280" i="60"/>
  <c r="C280" i="60" s="1"/>
  <c r="Y279" i="60"/>
  <c r="T279" i="60"/>
  <c r="C279" i="60" s="1"/>
  <c r="Y278" i="60"/>
  <c r="T278" i="60"/>
  <c r="C278" i="60" s="1"/>
  <c r="Y277" i="60"/>
  <c r="T277" i="60"/>
  <c r="C277" i="60" s="1"/>
  <c r="Y276" i="60"/>
  <c r="T276" i="60"/>
  <c r="C276" i="60" s="1"/>
  <c r="Y275" i="60"/>
  <c r="T275" i="60"/>
  <c r="C275" i="60" s="1"/>
  <c r="Y274" i="60"/>
  <c r="T274" i="60"/>
  <c r="C274" i="60" s="1"/>
  <c r="Y273" i="60"/>
  <c r="T273" i="60"/>
  <c r="C273" i="60" s="1"/>
  <c r="Y272" i="60"/>
  <c r="T272" i="60"/>
  <c r="C272" i="60" s="1"/>
  <c r="Y271" i="60"/>
  <c r="T271" i="60"/>
  <c r="C271" i="60" s="1"/>
  <c r="Y270" i="60"/>
  <c r="T270" i="60"/>
  <c r="C270" i="60" s="1"/>
  <c r="Y269" i="60"/>
  <c r="T269" i="60"/>
  <c r="C269" i="60" s="1"/>
  <c r="Y268" i="60"/>
  <c r="T268" i="60"/>
  <c r="C268" i="60" s="1"/>
  <c r="Y267" i="60"/>
  <c r="T267" i="60"/>
  <c r="C267" i="60" s="1"/>
  <c r="Y266" i="60"/>
  <c r="T266" i="60"/>
  <c r="C266" i="60" s="1"/>
  <c r="Y265" i="60"/>
  <c r="T265" i="60"/>
  <c r="C265" i="60" s="1"/>
  <c r="Y264" i="60"/>
  <c r="T264" i="60"/>
  <c r="C264" i="60" s="1"/>
  <c r="Y263" i="60"/>
  <c r="T263" i="60"/>
  <c r="C263" i="60" s="1"/>
  <c r="Y262" i="60"/>
  <c r="T262" i="60"/>
  <c r="C262" i="60" s="1"/>
  <c r="Y261" i="60"/>
  <c r="T261" i="60"/>
  <c r="C261" i="60" s="1"/>
  <c r="Y260" i="60"/>
  <c r="T260" i="60"/>
  <c r="C260" i="60" s="1"/>
  <c r="Y259" i="60"/>
  <c r="T259" i="60"/>
  <c r="C259" i="60" s="1"/>
  <c r="Y258" i="60"/>
  <c r="T258" i="60"/>
  <c r="C258" i="60" s="1"/>
  <c r="Y257" i="60"/>
  <c r="T257" i="60"/>
  <c r="C257" i="60" s="1"/>
  <c r="Y256" i="60"/>
  <c r="T256" i="60"/>
  <c r="C256" i="60" s="1"/>
  <c r="Y255" i="60"/>
  <c r="T255" i="60"/>
  <c r="C255" i="60" s="1"/>
  <c r="Y254" i="60"/>
  <c r="T254" i="60"/>
  <c r="C254" i="60" s="1"/>
  <c r="Y253" i="60"/>
  <c r="T253" i="60"/>
  <c r="C253" i="60" s="1"/>
  <c r="Y252" i="60"/>
  <c r="T252" i="60"/>
  <c r="C252" i="60" s="1"/>
  <c r="Y251" i="60"/>
  <c r="T251" i="60"/>
  <c r="C251" i="60" s="1"/>
  <c r="Y250" i="60"/>
  <c r="T250" i="60"/>
  <c r="C250" i="60" s="1"/>
  <c r="Y249" i="60"/>
  <c r="T249" i="60"/>
  <c r="C249" i="60" s="1"/>
  <c r="Y308" i="60"/>
  <c r="T308" i="60"/>
  <c r="C308" i="60" s="1"/>
  <c r="Y307" i="60"/>
  <c r="T307" i="60"/>
  <c r="C307" i="60" s="1"/>
  <c r="Y306" i="60"/>
  <c r="T306" i="60"/>
  <c r="C306" i="60" s="1"/>
  <c r="Y305" i="60"/>
  <c r="T305" i="60"/>
  <c r="C305" i="60" s="1"/>
  <c r="Y304" i="60"/>
  <c r="C304" i="60"/>
  <c r="Y303" i="60"/>
  <c r="T303" i="60"/>
  <c r="C303" i="60" s="1"/>
  <c r="Y302" i="60"/>
  <c r="C302" i="60"/>
  <c r="Y301" i="60"/>
  <c r="T301" i="60"/>
  <c r="C301" i="60" s="1"/>
  <c r="Y300" i="60"/>
  <c r="T300" i="60"/>
  <c r="C300" i="60" s="1"/>
  <c r="Y299" i="60"/>
  <c r="T299" i="60"/>
  <c r="C299" i="60" s="1"/>
  <c r="Y298" i="60"/>
  <c r="T298" i="60"/>
  <c r="C298" i="60" s="1"/>
  <c r="Y297" i="60"/>
  <c r="T297" i="60"/>
  <c r="C297" i="60" s="1"/>
  <c r="Y296" i="60"/>
  <c r="T296" i="60"/>
  <c r="C296" i="60" s="1"/>
  <c r="Y295" i="60"/>
  <c r="T295" i="60"/>
  <c r="C295" i="60" s="1"/>
  <c r="Y294" i="60"/>
  <c r="T294" i="60"/>
  <c r="C294" i="60" s="1"/>
  <c r="Y293" i="60"/>
  <c r="T293" i="60"/>
  <c r="C293" i="60" s="1"/>
  <c r="Y292" i="60"/>
  <c r="T292" i="60"/>
  <c r="C292" i="60" s="1"/>
  <c r="Y291" i="60"/>
  <c r="T291" i="60"/>
  <c r="C291" i="60" s="1"/>
  <c r="Y206" i="60"/>
  <c r="T206" i="60"/>
  <c r="C206" i="60" s="1"/>
  <c r="Y205" i="60"/>
  <c r="T205" i="60"/>
  <c r="C205" i="60" s="1"/>
  <c r="Y331" i="60"/>
  <c r="T331" i="60"/>
  <c r="C331" i="60" s="1"/>
  <c r="Y330" i="60"/>
  <c r="T330" i="60"/>
  <c r="C330" i="60" s="1"/>
  <c r="Y329" i="60"/>
  <c r="T329" i="60"/>
  <c r="C329" i="60" s="1"/>
  <c r="Y328" i="60"/>
  <c r="T328" i="60"/>
  <c r="C328" i="60" s="1"/>
  <c r="Y327" i="60"/>
  <c r="T327" i="60"/>
  <c r="C327" i="60" s="1"/>
  <c r="Y326" i="60"/>
  <c r="T326" i="60"/>
  <c r="C326" i="60" s="1"/>
  <c r="Y325" i="60"/>
  <c r="T325" i="60"/>
  <c r="C325" i="60" s="1"/>
  <c r="Y324" i="60"/>
  <c r="T324" i="60"/>
  <c r="C324" i="60" s="1"/>
  <c r="Y323" i="60"/>
  <c r="T323" i="60"/>
  <c r="C323" i="60" s="1"/>
  <c r="Y322" i="60"/>
  <c r="T322" i="60"/>
  <c r="C322" i="60" s="1"/>
  <c r="Y321" i="60"/>
  <c r="T321" i="60"/>
  <c r="C321" i="60" s="1"/>
  <c r="Y320" i="60"/>
  <c r="T320" i="60"/>
  <c r="C320" i="60" s="1"/>
  <c r="Y319" i="60"/>
  <c r="T319" i="60"/>
  <c r="C319" i="60" s="1"/>
  <c r="Y318" i="60"/>
  <c r="T318" i="60"/>
  <c r="C318" i="60" s="1"/>
  <c r="Y317" i="60"/>
  <c r="T317" i="60"/>
  <c r="C317" i="60" s="1"/>
  <c r="Y316" i="60"/>
  <c r="C316" i="60"/>
  <c r="Y315" i="60"/>
  <c r="T315" i="60"/>
  <c r="C315" i="60" s="1"/>
  <c r="Y314" i="60"/>
  <c r="T314" i="60"/>
  <c r="C314" i="60" s="1"/>
  <c r="Y313" i="60"/>
  <c r="T313" i="60"/>
  <c r="C313" i="60" s="1"/>
  <c r="Y312" i="60"/>
  <c r="T312" i="60"/>
  <c r="C312" i="60" s="1"/>
  <c r="Y311" i="60"/>
  <c r="T311" i="60"/>
  <c r="C311" i="60" s="1"/>
  <c r="Y310" i="60"/>
  <c r="T310" i="60"/>
  <c r="C310" i="60" s="1"/>
  <c r="Y309" i="60"/>
  <c r="T309" i="60"/>
  <c r="C309" i="60" s="1"/>
  <c r="Y356" i="60"/>
  <c r="T356" i="60"/>
  <c r="C356" i="60" s="1"/>
  <c r="Y355" i="60"/>
  <c r="T355" i="60"/>
  <c r="C355" i="60" s="1"/>
  <c r="Y354" i="60"/>
  <c r="T354" i="60"/>
  <c r="C354" i="60" s="1"/>
  <c r="Y353" i="60"/>
  <c r="T353" i="60"/>
  <c r="C353" i="60" s="1"/>
  <c r="Y352" i="60"/>
  <c r="T352" i="60"/>
  <c r="C352" i="60" s="1"/>
  <c r="Y351" i="60"/>
  <c r="T351" i="60"/>
  <c r="C351" i="60" s="1"/>
  <c r="Y350" i="60"/>
  <c r="T350" i="60"/>
  <c r="C350" i="60" s="1"/>
  <c r="Y349" i="60"/>
  <c r="T349" i="60"/>
  <c r="C349" i="60" s="1"/>
  <c r="Y348" i="60"/>
  <c r="T348" i="60"/>
  <c r="C348" i="60" s="1"/>
  <c r="Y347" i="60"/>
  <c r="T347" i="60"/>
  <c r="C347" i="60" s="1"/>
  <c r="Y346" i="60"/>
  <c r="T346" i="60"/>
  <c r="C346" i="60" s="1"/>
  <c r="Y345" i="60"/>
  <c r="T345" i="60"/>
  <c r="C345" i="60" s="1"/>
  <c r="Y344" i="60"/>
  <c r="T344" i="60"/>
  <c r="C344" i="60" s="1"/>
  <c r="Y343" i="60"/>
  <c r="T343" i="60"/>
  <c r="C343" i="60" s="1"/>
  <c r="Y342" i="60"/>
  <c r="C342" i="60"/>
  <c r="Y341" i="60"/>
  <c r="T341" i="60"/>
  <c r="C341" i="60" s="1"/>
  <c r="Y340" i="60"/>
  <c r="T340" i="60"/>
  <c r="C340" i="60" s="1"/>
  <c r="Y339" i="60"/>
  <c r="T339" i="60"/>
  <c r="C339" i="60" s="1"/>
  <c r="Y338" i="60"/>
  <c r="T338" i="60"/>
  <c r="C338" i="60" s="1"/>
  <c r="Y337" i="60"/>
  <c r="T337" i="60"/>
  <c r="C337" i="60" s="1"/>
  <c r="Y336" i="60"/>
  <c r="T336" i="60"/>
  <c r="C336" i="60" s="1"/>
  <c r="Y335" i="60"/>
  <c r="T335" i="60"/>
  <c r="C335" i="60" s="1"/>
  <c r="Y334" i="60"/>
  <c r="T334" i="60"/>
  <c r="C334" i="60" s="1"/>
  <c r="Y333" i="60"/>
  <c r="T333" i="60"/>
  <c r="C333" i="60" s="1"/>
  <c r="Y332" i="60"/>
  <c r="T332" i="60"/>
  <c r="C332" i="60" s="1"/>
  <c r="Y369" i="60"/>
  <c r="T369" i="60"/>
  <c r="C369" i="60" s="1"/>
  <c r="Y368" i="60"/>
  <c r="T368" i="60"/>
  <c r="C368" i="60" s="1"/>
  <c r="Y367" i="60"/>
  <c r="T367" i="60"/>
  <c r="C367" i="60" s="1"/>
  <c r="Y366" i="60"/>
  <c r="T366" i="60"/>
  <c r="C366" i="60" s="1"/>
  <c r="Y365" i="60"/>
  <c r="T365" i="60"/>
  <c r="C365" i="60" s="1"/>
  <c r="Y364" i="60"/>
  <c r="T364" i="60"/>
  <c r="C364" i="60" s="1"/>
  <c r="Y363" i="60"/>
  <c r="T363" i="60"/>
  <c r="C363" i="60" s="1"/>
  <c r="Y362" i="60"/>
  <c r="T362" i="60"/>
  <c r="C362" i="60" s="1"/>
  <c r="Y361" i="60"/>
  <c r="T361" i="60"/>
  <c r="C361" i="60" s="1"/>
  <c r="Y360" i="60"/>
  <c r="T360" i="60"/>
  <c r="C360" i="60" s="1"/>
  <c r="Y359" i="60"/>
  <c r="T359" i="60"/>
  <c r="C359" i="60" s="1"/>
  <c r="Y358" i="60"/>
  <c r="T358" i="60"/>
  <c r="C358" i="60" s="1"/>
  <c r="Y357" i="60"/>
  <c r="T357" i="60"/>
  <c r="C357" i="60" s="1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O102" i="60"/>
  <c r="O103" i="60"/>
  <c r="O104" i="60"/>
  <c r="O105" i="60"/>
  <c r="O106" i="60"/>
  <c r="O107" i="60"/>
  <c r="O108" i="60"/>
  <c r="O109" i="60"/>
  <c r="O110" i="60"/>
  <c r="O111" i="60"/>
  <c r="O112" i="60"/>
  <c r="O113" i="60"/>
  <c r="O114" i="60"/>
  <c r="O115" i="60"/>
  <c r="O116" i="60"/>
  <c r="O117" i="60"/>
  <c r="O118" i="60"/>
  <c r="O119" i="60"/>
  <c r="O120" i="60"/>
  <c r="O121" i="60"/>
  <c r="O122" i="60"/>
  <c r="O123" i="60"/>
  <c r="O124" i="60"/>
  <c r="O125" i="60"/>
  <c r="O126" i="60"/>
  <c r="O127" i="60"/>
  <c r="O128" i="60"/>
  <c r="O129" i="60"/>
  <c r="O130" i="60"/>
  <c r="O131" i="60"/>
  <c r="O132" i="60"/>
  <c r="O133" i="60"/>
  <c r="O134" i="60"/>
  <c r="O135" i="60"/>
  <c r="O136" i="60"/>
  <c r="O137" i="60"/>
  <c r="O138" i="60"/>
  <c r="O139" i="60"/>
  <c r="O140" i="60"/>
  <c r="O141" i="60"/>
  <c r="O142" i="60"/>
  <c r="O143" i="60"/>
  <c r="O144" i="60"/>
  <c r="O145" i="60"/>
  <c r="O146" i="60"/>
  <c r="O147" i="60"/>
  <c r="O148" i="60"/>
  <c r="O149" i="60"/>
  <c r="O150" i="60"/>
  <c r="O151" i="60"/>
  <c r="O152" i="60"/>
  <c r="O153" i="60"/>
  <c r="O154" i="60"/>
  <c r="O155" i="60"/>
  <c r="O156" i="60"/>
  <c r="O157" i="60"/>
  <c r="O158" i="60"/>
  <c r="O159" i="60"/>
  <c r="O160" i="60"/>
  <c r="O161" i="60"/>
  <c r="O162" i="60"/>
  <c r="O163" i="60"/>
  <c r="O164" i="60"/>
  <c r="O165" i="60"/>
  <c r="O166" i="60"/>
  <c r="O167" i="60"/>
  <c r="O168" i="60"/>
  <c r="O169" i="60"/>
  <c r="O170" i="60"/>
  <c r="O171" i="60"/>
  <c r="O172" i="60"/>
  <c r="O173" i="60"/>
  <c r="O174" i="60"/>
  <c r="O175" i="60"/>
  <c r="O176" i="60"/>
  <c r="O177" i="60"/>
  <c r="O178" i="60"/>
  <c r="O179" i="60"/>
  <c r="O180" i="60"/>
  <c r="O181" i="60"/>
  <c r="O182" i="60"/>
  <c r="O183" i="60"/>
  <c r="O184" i="60"/>
  <c r="O185" i="60"/>
  <c r="O186" i="60"/>
  <c r="O187" i="60"/>
  <c r="O188" i="60"/>
  <c r="O189" i="60"/>
  <c r="O190" i="60"/>
  <c r="O6" i="60"/>
  <c r="Y106" i="60"/>
  <c r="T106" i="60"/>
  <c r="C106" i="60" s="1"/>
  <c r="Y105" i="60"/>
  <c r="T105" i="60"/>
  <c r="C105" i="60" s="1"/>
  <c r="Y104" i="60"/>
  <c r="T104" i="60"/>
  <c r="C104" i="60" s="1"/>
  <c r="Y103" i="60"/>
  <c r="T103" i="60"/>
  <c r="C103" i="60" s="1"/>
  <c r="Y102" i="60"/>
  <c r="T102" i="60"/>
  <c r="C102" i="60" s="1"/>
  <c r="Y101" i="60"/>
  <c r="T101" i="60"/>
  <c r="C101" i="60" s="1"/>
  <c r="Y100" i="60"/>
  <c r="T100" i="60"/>
  <c r="C100" i="60" s="1"/>
  <c r="Y99" i="60"/>
  <c r="T99" i="60"/>
  <c r="C99" i="60" s="1"/>
  <c r="Y98" i="60"/>
  <c r="T98" i="60"/>
  <c r="C98" i="60" s="1"/>
  <c r="Y97" i="60"/>
  <c r="T97" i="60"/>
  <c r="C97" i="60" s="1"/>
  <c r="Y96" i="60"/>
  <c r="T96" i="60"/>
  <c r="C96" i="60" s="1"/>
  <c r="Y95" i="60"/>
  <c r="T95" i="60"/>
  <c r="C95" i="60" s="1"/>
  <c r="Y94" i="60"/>
  <c r="T94" i="60"/>
  <c r="C94" i="60" s="1"/>
  <c r="Y93" i="60"/>
  <c r="T93" i="60"/>
  <c r="C93" i="60" s="1"/>
  <c r="Y92" i="60"/>
  <c r="T92" i="60"/>
  <c r="C92" i="60" s="1"/>
  <c r="Y91" i="60"/>
  <c r="T91" i="60"/>
  <c r="C91" i="60" s="1"/>
  <c r="Y90" i="60"/>
  <c r="T90" i="60"/>
  <c r="C90" i="60" s="1"/>
  <c r="Y89" i="60"/>
  <c r="T89" i="60"/>
  <c r="C89" i="60" s="1"/>
  <c r="Y88" i="60"/>
  <c r="T88" i="60"/>
  <c r="C88" i="60" s="1"/>
  <c r="Y87" i="60"/>
  <c r="T87" i="60"/>
  <c r="C87" i="60" s="1"/>
  <c r="Y86" i="60"/>
  <c r="T86" i="60"/>
  <c r="C86" i="60" s="1"/>
  <c r="Y85" i="60"/>
  <c r="T85" i="60"/>
  <c r="C85" i="60" s="1"/>
  <c r="Y84" i="60"/>
  <c r="T84" i="60"/>
  <c r="C84" i="60" s="1"/>
  <c r="Y83" i="60"/>
  <c r="T83" i="60"/>
  <c r="C83" i="60" s="1"/>
  <c r="Y82" i="60"/>
  <c r="T82" i="60"/>
  <c r="C82" i="60" s="1"/>
  <c r="Y81" i="60"/>
  <c r="T81" i="60"/>
  <c r="C81" i="60" s="1"/>
  <c r="Y80" i="60"/>
  <c r="T80" i="60"/>
  <c r="C80" i="60" s="1"/>
  <c r="Y79" i="60"/>
  <c r="T79" i="60"/>
  <c r="C79" i="60" s="1"/>
  <c r="Y78" i="60"/>
  <c r="T78" i="60"/>
  <c r="C78" i="60" s="1"/>
  <c r="Y77" i="60"/>
  <c r="T77" i="60"/>
  <c r="C77" i="60" s="1"/>
  <c r="Y136" i="60"/>
  <c r="T136" i="60"/>
  <c r="C136" i="60" s="1"/>
  <c r="Y135" i="60"/>
  <c r="T135" i="60"/>
  <c r="C135" i="60" s="1"/>
  <c r="Y134" i="60"/>
  <c r="T134" i="60"/>
  <c r="C134" i="60" s="1"/>
  <c r="Y133" i="60"/>
  <c r="T133" i="60"/>
  <c r="C133" i="60" s="1"/>
  <c r="Y132" i="60"/>
  <c r="T132" i="60"/>
  <c r="C132" i="60" s="1"/>
  <c r="Y131" i="60"/>
  <c r="T131" i="60"/>
  <c r="C131" i="60" s="1"/>
  <c r="Y130" i="60"/>
  <c r="T130" i="60"/>
  <c r="C130" i="60" s="1"/>
  <c r="Y129" i="60"/>
  <c r="T129" i="60"/>
  <c r="C129" i="60" s="1"/>
  <c r="Y128" i="60"/>
  <c r="T128" i="60"/>
  <c r="C128" i="60" s="1"/>
  <c r="Y127" i="60"/>
  <c r="T127" i="60"/>
  <c r="C127" i="60" s="1"/>
  <c r="Y126" i="60"/>
  <c r="T126" i="60"/>
  <c r="C126" i="60" s="1"/>
  <c r="Y125" i="60"/>
  <c r="T125" i="60"/>
  <c r="C125" i="60" s="1"/>
  <c r="Y124" i="60"/>
  <c r="T124" i="60"/>
  <c r="C124" i="60" s="1"/>
  <c r="Y123" i="60"/>
  <c r="T123" i="60"/>
  <c r="C123" i="60" s="1"/>
  <c r="Y122" i="60"/>
  <c r="T122" i="60"/>
  <c r="C122" i="60" s="1"/>
  <c r="Y121" i="60"/>
  <c r="T121" i="60"/>
  <c r="C121" i="60" s="1"/>
  <c r="Y120" i="60"/>
  <c r="T120" i="60"/>
  <c r="C120" i="60" s="1"/>
  <c r="Y119" i="60"/>
  <c r="T119" i="60"/>
  <c r="C119" i="60" s="1"/>
  <c r="Y118" i="60"/>
  <c r="T118" i="60"/>
  <c r="C118" i="60" s="1"/>
  <c r="Y117" i="60"/>
  <c r="T117" i="60"/>
  <c r="C117" i="60" s="1"/>
  <c r="Y116" i="60"/>
  <c r="T116" i="60"/>
  <c r="C116" i="60" s="1"/>
  <c r="Y115" i="60"/>
  <c r="T115" i="60"/>
  <c r="C115" i="60" s="1"/>
  <c r="Y114" i="60"/>
  <c r="T114" i="60"/>
  <c r="C114" i="60" s="1"/>
  <c r="Y113" i="60"/>
  <c r="T113" i="60"/>
  <c r="C113" i="60" s="1"/>
  <c r="Y112" i="60"/>
  <c r="T112" i="60"/>
  <c r="C112" i="60" s="1"/>
  <c r="Y111" i="60"/>
  <c r="T111" i="60"/>
  <c r="C111" i="60" s="1"/>
  <c r="Y110" i="60"/>
  <c r="T110" i="60"/>
  <c r="C110" i="60" s="1"/>
  <c r="Y109" i="60"/>
  <c r="T109" i="60"/>
  <c r="C109" i="60" s="1"/>
  <c r="Y108" i="60"/>
  <c r="T108" i="60"/>
  <c r="C108" i="60" s="1"/>
  <c r="Y107" i="60"/>
  <c r="T107" i="60"/>
  <c r="C107" i="60" s="1"/>
  <c r="Y166" i="60"/>
  <c r="T166" i="60"/>
  <c r="C166" i="60" s="1"/>
  <c r="Y165" i="60"/>
  <c r="T165" i="60"/>
  <c r="C165" i="60" s="1"/>
  <c r="Y164" i="60"/>
  <c r="T164" i="60"/>
  <c r="C164" i="60" s="1"/>
  <c r="Y163" i="60"/>
  <c r="T163" i="60"/>
  <c r="C163" i="60" s="1"/>
  <c r="Y162" i="60"/>
  <c r="T162" i="60"/>
  <c r="C162" i="60" s="1"/>
  <c r="Y161" i="60"/>
  <c r="T161" i="60"/>
  <c r="C161" i="60" s="1"/>
  <c r="Y160" i="60"/>
  <c r="T160" i="60"/>
  <c r="C160" i="60" s="1"/>
  <c r="Y159" i="60"/>
  <c r="T159" i="60"/>
  <c r="C159" i="60" s="1"/>
  <c r="Y158" i="60"/>
  <c r="T158" i="60"/>
  <c r="C158" i="60" s="1"/>
  <c r="Y157" i="60"/>
  <c r="T157" i="60"/>
  <c r="C157" i="60" s="1"/>
  <c r="Y156" i="60"/>
  <c r="T156" i="60"/>
  <c r="C156" i="60" s="1"/>
  <c r="Y155" i="60"/>
  <c r="T155" i="60"/>
  <c r="C155" i="60" s="1"/>
  <c r="Y154" i="60"/>
  <c r="T154" i="60"/>
  <c r="C154" i="60" s="1"/>
  <c r="Y153" i="60"/>
  <c r="T153" i="60"/>
  <c r="C153" i="60" s="1"/>
  <c r="Y152" i="60"/>
  <c r="T152" i="60"/>
  <c r="C152" i="60" s="1"/>
  <c r="Y151" i="60"/>
  <c r="T151" i="60"/>
  <c r="C151" i="60" s="1"/>
  <c r="Y150" i="60"/>
  <c r="T150" i="60"/>
  <c r="C150" i="60" s="1"/>
  <c r="Y149" i="60"/>
  <c r="T149" i="60"/>
  <c r="C149" i="60" s="1"/>
  <c r="Y148" i="60"/>
  <c r="T148" i="60"/>
  <c r="C148" i="60" s="1"/>
  <c r="Y147" i="60"/>
  <c r="T147" i="60"/>
  <c r="C147" i="60" s="1"/>
  <c r="Y146" i="60"/>
  <c r="T146" i="60"/>
  <c r="C146" i="60" s="1"/>
  <c r="Y145" i="60"/>
  <c r="T145" i="60"/>
  <c r="C145" i="60" s="1"/>
  <c r="Y144" i="60"/>
  <c r="T144" i="60"/>
  <c r="C144" i="60" s="1"/>
  <c r="Y143" i="60"/>
  <c r="T143" i="60"/>
  <c r="C143" i="60" s="1"/>
  <c r="Y142" i="60"/>
  <c r="T142" i="60"/>
  <c r="C142" i="60" s="1"/>
  <c r="Y141" i="60"/>
  <c r="T141" i="60"/>
  <c r="C141" i="60" s="1"/>
  <c r="Y140" i="60"/>
  <c r="T140" i="60"/>
  <c r="C140" i="60" s="1"/>
  <c r="Y139" i="60"/>
  <c r="T139" i="60"/>
  <c r="C139" i="60" s="1"/>
  <c r="Y138" i="60"/>
  <c r="T138" i="60"/>
  <c r="C138" i="60" s="1"/>
  <c r="Y137" i="60"/>
  <c r="T137" i="60"/>
  <c r="C137" i="60" s="1"/>
  <c r="Y35" i="60"/>
  <c r="T35" i="60"/>
  <c r="C35" i="60" s="1"/>
  <c r="Y34" i="60"/>
  <c r="T34" i="60"/>
  <c r="C34" i="60" s="1"/>
  <c r="Y33" i="60"/>
  <c r="T33" i="60"/>
  <c r="C33" i="60" s="1"/>
  <c r="Y32" i="60"/>
  <c r="T32" i="60"/>
  <c r="C32" i="60" s="1"/>
  <c r="Y31" i="60"/>
  <c r="T31" i="60"/>
  <c r="C31" i="60" s="1"/>
  <c r="Y30" i="60"/>
  <c r="T30" i="60"/>
  <c r="C30" i="60" s="1"/>
  <c r="Y29" i="60"/>
  <c r="T29" i="60"/>
  <c r="C29" i="60" s="1"/>
  <c r="Y28" i="60"/>
  <c r="T28" i="60"/>
  <c r="C28" i="60" s="1"/>
  <c r="Y27" i="60"/>
  <c r="T27" i="60"/>
  <c r="C27" i="60" s="1"/>
  <c r="Y26" i="60"/>
  <c r="T26" i="60"/>
  <c r="C26" i="60" s="1"/>
  <c r="Y25" i="60"/>
  <c r="T25" i="60"/>
  <c r="C25" i="60" s="1"/>
  <c r="Y24" i="60"/>
  <c r="T24" i="60"/>
  <c r="C24" i="60" s="1"/>
  <c r="Y23" i="60"/>
  <c r="T23" i="60"/>
  <c r="C23" i="60" s="1"/>
  <c r="Y22" i="60"/>
  <c r="T22" i="60"/>
  <c r="C22" i="60" s="1"/>
  <c r="Y21" i="60"/>
  <c r="T21" i="60"/>
  <c r="C21" i="60" s="1"/>
  <c r="Y20" i="60"/>
  <c r="T20" i="60"/>
  <c r="C20" i="60" s="1"/>
  <c r="Y19" i="60"/>
  <c r="T19" i="60"/>
  <c r="C19" i="60" s="1"/>
  <c r="Y18" i="60"/>
  <c r="T18" i="60"/>
  <c r="C18" i="60" s="1"/>
  <c r="Y17" i="60"/>
  <c r="T17" i="60"/>
  <c r="C17" i="60" s="1"/>
  <c r="Y16" i="60"/>
  <c r="T16" i="60"/>
  <c r="C16" i="60" s="1"/>
  <c r="Y15" i="60"/>
  <c r="T15" i="60"/>
  <c r="C15" i="60" s="1"/>
  <c r="Y14" i="60"/>
  <c r="T14" i="60"/>
  <c r="C14" i="60" s="1"/>
  <c r="Y13" i="60"/>
  <c r="T13" i="60"/>
  <c r="C13" i="60" s="1"/>
  <c r="Y12" i="60"/>
  <c r="T12" i="60"/>
  <c r="C12" i="60" s="1"/>
  <c r="Y59" i="60"/>
  <c r="T59" i="60"/>
  <c r="C59" i="60" s="1"/>
  <c r="Y58" i="60"/>
  <c r="T58" i="60"/>
  <c r="C58" i="60" s="1"/>
  <c r="Y57" i="60"/>
  <c r="T57" i="60"/>
  <c r="C57" i="60" s="1"/>
  <c r="Y56" i="60"/>
  <c r="T56" i="60"/>
  <c r="C56" i="60" s="1"/>
  <c r="Y55" i="60"/>
  <c r="T55" i="60"/>
  <c r="C55" i="60" s="1"/>
  <c r="Y54" i="60"/>
  <c r="T54" i="60"/>
  <c r="C54" i="60" s="1"/>
  <c r="Y53" i="60"/>
  <c r="T53" i="60"/>
  <c r="C53" i="60" s="1"/>
  <c r="Y52" i="60"/>
  <c r="T52" i="60"/>
  <c r="C52" i="60" s="1"/>
  <c r="Y51" i="60"/>
  <c r="T51" i="60"/>
  <c r="C51" i="60" s="1"/>
  <c r="Y50" i="60"/>
  <c r="T50" i="60"/>
  <c r="C50" i="60" s="1"/>
  <c r="Y49" i="60"/>
  <c r="T49" i="60"/>
  <c r="C49" i="60" s="1"/>
  <c r="Y48" i="60"/>
  <c r="T48" i="60"/>
  <c r="C48" i="60" s="1"/>
  <c r="Y47" i="60"/>
  <c r="T47" i="60"/>
  <c r="C47" i="60" s="1"/>
  <c r="Y46" i="60"/>
  <c r="T46" i="60"/>
  <c r="C46" i="60" s="1"/>
  <c r="Y45" i="60"/>
  <c r="T45" i="60"/>
  <c r="C45" i="60" s="1"/>
  <c r="Y44" i="60"/>
  <c r="T44" i="60"/>
  <c r="C44" i="60" s="1"/>
  <c r="Y43" i="60"/>
  <c r="T43" i="60"/>
  <c r="C43" i="60" s="1"/>
  <c r="Y42" i="60"/>
  <c r="T42" i="60"/>
  <c r="C42" i="60" s="1"/>
  <c r="Y41" i="60"/>
  <c r="T41" i="60"/>
  <c r="C41" i="60" s="1"/>
  <c r="Y40" i="60"/>
  <c r="T40" i="60"/>
  <c r="C40" i="60" s="1"/>
  <c r="Y39" i="60"/>
  <c r="T39" i="60"/>
  <c r="C39" i="60" s="1"/>
  <c r="Y38" i="60"/>
  <c r="T38" i="60"/>
  <c r="C38" i="60" s="1"/>
  <c r="Y37" i="60"/>
  <c r="T37" i="60"/>
  <c r="C37" i="60" s="1"/>
  <c r="Y36" i="60"/>
  <c r="T36" i="60"/>
  <c r="C36" i="60" s="1"/>
  <c r="Y173" i="60"/>
  <c r="T173" i="60"/>
  <c r="C173" i="60" s="1"/>
  <c r="Y172" i="60"/>
  <c r="T172" i="60"/>
  <c r="C172" i="60" s="1"/>
  <c r="Y171" i="60"/>
  <c r="T171" i="60"/>
  <c r="C171" i="60" s="1"/>
  <c r="Y170" i="60"/>
  <c r="T170" i="60"/>
  <c r="C170" i="60" s="1"/>
  <c r="Y169" i="60"/>
  <c r="T169" i="60"/>
  <c r="C169" i="60" s="1"/>
  <c r="Y168" i="60"/>
  <c r="T168" i="60"/>
  <c r="C168" i="60" s="1"/>
  <c r="Y167" i="60"/>
  <c r="T167" i="60"/>
  <c r="C167" i="60" s="1"/>
  <c r="Y76" i="60"/>
  <c r="T76" i="60"/>
  <c r="C76" i="60" s="1"/>
  <c r="Y75" i="60"/>
  <c r="T75" i="60"/>
  <c r="C75" i="60" s="1"/>
  <c r="Y74" i="60"/>
  <c r="T74" i="60"/>
  <c r="C74" i="60" s="1"/>
  <c r="Y73" i="60"/>
  <c r="T73" i="60"/>
  <c r="C73" i="60" s="1"/>
  <c r="Y72" i="60"/>
  <c r="T72" i="60"/>
  <c r="C72" i="60" s="1"/>
  <c r="Y71" i="60"/>
  <c r="T71" i="60"/>
  <c r="C71" i="60" s="1"/>
  <c r="Y70" i="60"/>
  <c r="T70" i="60"/>
  <c r="C70" i="60" s="1"/>
  <c r="Y69" i="60"/>
  <c r="T69" i="60"/>
  <c r="C69" i="60" s="1"/>
  <c r="Y68" i="60"/>
  <c r="T68" i="60"/>
  <c r="C68" i="60" s="1"/>
  <c r="Y67" i="60"/>
  <c r="T67" i="60"/>
  <c r="C67" i="60" s="1"/>
  <c r="Y66" i="60"/>
  <c r="T66" i="60"/>
  <c r="C66" i="60" s="1"/>
  <c r="Y65" i="60"/>
  <c r="T65" i="60"/>
  <c r="C65" i="60" s="1"/>
  <c r="Y64" i="60"/>
  <c r="T64" i="60"/>
  <c r="C64" i="60" s="1"/>
  <c r="Y63" i="60"/>
  <c r="T63" i="60"/>
  <c r="C63" i="60" s="1"/>
  <c r="Y62" i="60"/>
  <c r="T62" i="60"/>
  <c r="C62" i="60" s="1"/>
  <c r="Y61" i="60"/>
  <c r="T61" i="60"/>
  <c r="C61" i="60" s="1"/>
  <c r="Y60" i="60"/>
  <c r="T60" i="60"/>
  <c r="C60" i="60" s="1"/>
  <c r="Y185" i="60"/>
  <c r="T185" i="60"/>
  <c r="C185" i="60" s="1"/>
  <c r="Y184" i="60"/>
  <c r="T184" i="60"/>
  <c r="C184" i="60" s="1"/>
  <c r="Y183" i="60"/>
  <c r="T183" i="60"/>
  <c r="C183" i="60" s="1"/>
  <c r="Y182" i="60"/>
  <c r="T182" i="60"/>
  <c r="C182" i="60" s="1"/>
  <c r="Y181" i="60"/>
  <c r="T181" i="60"/>
  <c r="C181" i="60" s="1"/>
  <c r="Y180" i="60"/>
  <c r="T180" i="60"/>
  <c r="C180" i="60" s="1"/>
  <c r="Y179" i="60"/>
  <c r="T179" i="60"/>
  <c r="C179" i="60" s="1"/>
  <c r="Y178" i="60"/>
  <c r="T178" i="60"/>
  <c r="C178" i="60" s="1"/>
  <c r="Y177" i="60"/>
  <c r="T177" i="60"/>
  <c r="C177" i="60" s="1"/>
  <c r="Y176" i="60"/>
  <c r="T176" i="60"/>
  <c r="C176" i="60" s="1"/>
  <c r="Y175" i="60"/>
  <c r="T175" i="60"/>
  <c r="C175" i="60" s="1"/>
  <c r="Y174" i="60"/>
  <c r="T174" i="60"/>
  <c r="C174" i="60" s="1"/>
  <c r="U680" i="34" l="1"/>
  <c r="Z680" i="34"/>
  <c r="A680" i="34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1315" i="34"/>
  <c r="C1315" i="34"/>
  <c r="B1315" i="34" s="1"/>
  <c r="K1314" i="34"/>
  <c r="C1314" i="34"/>
  <c r="B1314" i="34" s="1"/>
  <c r="K1313" i="34"/>
  <c r="C1313" i="34"/>
  <c r="B1313" i="34" s="1"/>
  <c r="K1312" i="34"/>
  <c r="C1312" i="34"/>
  <c r="B1312" i="34" s="1"/>
  <c r="K1311" i="34"/>
  <c r="C1311" i="34"/>
  <c r="B1311" i="34" s="1"/>
  <c r="K1310" i="34"/>
  <c r="C1310" i="34"/>
  <c r="B1310" i="34" s="1"/>
  <c r="K1309" i="34"/>
  <c r="C1309" i="34"/>
  <c r="B1309" i="34" s="1"/>
  <c r="K1308" i="34"/>
  <c r="C1308" i="34"/>
  <c r="B1308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097" i="34"/>
  <c r="C1097" i="34"/>
  <c r="B1097" i="34" s="1"/>
  <c r="K1100" i="34"/>
  <c r="C1100" i="34"/>
  <c r="B1100" i="34" s="1"/>
  <c r="K1099" i="34"/>
  <c r="C1099" i="34"/>
  <c r="B1099" i="34" s="1"/>
  <c r="K1098" i="34"/>
  <c r="C1098" i="34"/>
  <c r="B1098" i="34" s="1"/>
  <c r="I1096" i="34"/>
  <c r="K1096" i="34" s="1"/>
  <c r="C1096" i="34"/>
  <c r="B1096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1" i="34"/>
  <c r="C1091" i="34"/>
  <c r="B1091" i="34" s="1"/>
  <c r="K644" i="34"/>
  <c r="K645" i="34"/>
  <c r="K646" i="34"/>
  <c r="K647" i="34"/>
  <c r="K648" i="34"/>
  <c r="K650" i="34"/>
  <c r="K651" i="34"/>
  <c r="K652" i="34"/>
  <c r="K653" i="34"/>
  <c r="K643" i="34"/>
  <c r="I649" i="34"/>
  <c r="K649" i="34" s="1"/>
  <c r="C649" i="34"/>
  <c r="B649" i="34" s="1"/>
  <c r="C648" i="34"/>
  <c r="B648" i="34" s="1"/>
  <c r="C647" i="34"/>
  <c r="B647" i="34" s="1"/>
  <c r="C650" i="34"/>
  <c r="B650" i="34" s="1"/>
  <c r="C646" i="34"/>
  <c r="B646" i="34" s="1"/>
  <c r="C645" i="34"/>
  <c r="B645" i="34" s="1"/>
  <c r="C644" i="34"/>
  <c r="B644" i="34" s="1"/>
  <c r="C643" i="34"/>
  <c r="B643" i="34" s="1"/>
  <c r="C653" i="34"/>
  <c r="B653" i="34" s="1"/>
  <c r="C652" i="34"/>
  <c r="B652" i="34" s="1"/>
  <c r="C651" i="34"/>
  <c r="B651" i="34" s="1"/>
  <c r="K606" i="34"/>
  <c r="C606" i="34"/>
  <c r="B606" i="34" s="1"/>
  <c r="K605" i="34"/>
  <c r="C605" i="34"/>
  <c r="B605" i="34" s="1"/>
  <c r="K604" i="34"/>
  <c r="C604" i="34"/>
  <c r="B604" i="34" s="1"/>
  <c r="K603" i="34"/>
  <c r="C603" i="34"/>
  <c r="B603" i="34" s="1"/>
  <c r="K602" i="34"/>
  <c r="C602" i="34"/>
  <c r="B602" i="34" s="1"/>
  <c r="K601" i="34"/>
  <c r="C601" i="34"/>
  <c r="B601" i="34" s="1"/>
  <c r="K600" i="34"/>
  <c r="C600" i="34"/>
  <c r="B600" i="34" s="1"/>
  <c r="K599" i="34"/>
  <c r="C599" i="34"/>
  <c r="B599" i="34" s="1"/>
  <c r="K598" i="34"/>
  <c r="C598" i="34"/>
  <c r="B598" i="34" s="1"/>
  <c r="K597" i="34"/>
  <c r="C597" i="34"/>
  <c r="B597" i="34" s="1"/>
  <c r="U599" i="34" l="1"/>
  <c r="Z599" i="34"/>
  <c r="A599" i="34"/>
  <c r="U651" i="34"/>
  <c r="Z651" i="34"/>
  <c r="A651" i="34"/>
  <c r="U647" i="34"/>
  <c r="Z647" i="34"/>
  <c r="A647" i="34"/>
  <c r="U598" i="34"/>
  <c r="Z598" i="34"/>
  <c r="A598" i="34"/>
  <c r="U600" i="34"/>
  <c r="Z600" i="34"/>
  <c r="A600" i="34"/>
  <c r="U602" i="34"/>
  <c r="Z602" i="34"/>
  <c r="A602" i="34"/>
  <c r="U604" i="34"/>
  <c r="Z604" i="34"/>
  <c r="A604" i="34"/>
  <c r="U606" i="34"/>
  <c r="Z606" i="34"/>
  <c r="A606" i="34"/>
  <c r="U653" i="34"/>
  <c r="Z653" i="34"/>
  <c r="A653" i="34"/>
  <c r="U646" i="34"/>
  <c r="Z646" i="34"/>
  <c r="A646" i="34"/>
  <c r="U649" i="34"/>
  <c r="Z649" i="34"/>
  <c r="A649" i="34"/>
  <c r="U1091" i="34"/>
  <c r="Z1091" i="34"/>
  <c r="A1091" i="34"/>
  <c r="U1093" i="34"/>
  <c r="Z1093" i="34"/>
  <c r="A1093" i="34"/>
  <c r="U1095" i="34"/>
  <c r="Z1095" i="34"/>
  <c r="A1095" i="34"/>
  <c r="U1098" i="34"/>
  <c r="Z1098" i="34"/>
  <c r="A1098" i="34"/>
  <c r="U1100" i="34"/>
  <c r="Z1100" i="34"/>
  <c r="A1100" i="34"/>
  <c r="U1124" i="34"/>
  <c r="Z1124" i="34"/>
  <c r="A1124" i="34"/>
  <c r="U1126" i="34"/>
  <c r="Z1126" i="34"/>
  <c r="A1126" i="34"/>
  <c r="U1128" i="34"/>
  <c r="Z1128" i="34"/>
  <c r="A1128" i="34"/>
  <c r="U1130" i="34"/>
  <c r="Z1130" i="34"/>
  <c r="A1130" i="34"/>
  <c r="U1132" i="34"/>
  <c r="Z1132" i="34"/>
  <c r="A1132" i="34"/>
  <c r="U1134" i="34"/>
  <c r="Z1134" i="34"/>
  <c r="A1134" i="34"/>
  <c r="U1136" i="34"/>
  <c r="Z1136" i="34"/>
  <c r="A1136" i="34"/>
  <c r="U1138" i="34"/>
  <c r="Z1138" i="34"/>
  <c r="A1138" i="34"/>
  <c r="U1308" i="34"/>
  <c r="Z1308" i="34"/>
  <c r="A1308" i="34"/>
  <c r="U1310" i="34"/>
  <c r="Z1310" i="34"/>
  <c r="A1310" i="34"/>
  <c r="U1312" i="34"/>
  <c r="Z1312" i="34"/>
  <c r="A1312" i="34"/>
  <c r="U1314" i="34"/>
  <c r="Z1314" i="34"/>
  <c r="A1314" i="34"/>
  <c r="U308" i="34"/>
  <c r="Z308" i="34"/>
  <c r="A308" i="34"/>
  <c r="U310" i="34"/>
  <c r="Z310" i="34"/>
  <c r="A310" i="34"/>
  <c r="U312" i="34"/>
  <c r="Z312" i="34"/>
  <c r="A312" i="34"/>
  <c r="U314" i="34"/>
  <c r="Z314" i="34"/>
  <c r="A314" i="34"/>
  <c r="U316" i="34"/>
  <c r="Z316" i="34"/>
  <c r="A316" i="34"/>
  <c r="U650" i="34"/>
  <c r="Z650" i="34"/>
  <c r="A650" i="34"/>
  <c r="U603" i="34"/>
  <c r="Z603" i="34"/>
  <c r="A603" i="34"/>
  <c r="U644" i="34"/>
  <c r="Z644" i="34"/>
  <c r="A644" i="34"/>
  <c r="U1092" i="34"/>
  <c r="Z1092" i="34"/>
  <c r="A1092" i="34"/>
  <c r="U1094" i="34"/>
  <c r="Z1094" i="34"/>
  <c r="A1094" i="34"/>
  <c r="U1096" i="34"/>
  <c r="Z1096" i="34"/>
  <c r="A1096" i="34"/>
  <c r="U1099" i="34"/>
  <c r="Z1099" i="34"/>
  <c r="A1099" i="34"/>
  <c r="U1097" i="34"/>
  <c r="Z1097" i="34"/>
  <c r="A1097" i="34"/>
  <c r="U1125" i="34"/>
  <c r="Z1125" i="34"/>
  <c r="A1125" i="34"/>
  <c r="U1127" i="34"/>
  <c r="Z1127" i="34"/>
  <c r="A1127" i="34"/>
  <c r="U1129" i="34"/>
  <c r="Z1129" i="34"/>
  <c r="A1129" i="34"/>
  <c r="U1131" i="34"/>
  <c r="Z1131" i="34"/>
  <c r="A1131" i="34"/>
  <c r="U1133" i="34"/>
  <c r="Z1133" i="34"/>
  <c r="A1133" i="34"/>
  <c r="U1135" i="34"/>
  <c r="Z1135" i="34"/>
  <c r="A1135" i="34"/>
  <c r="U1137" i="34"/>
  <c r="Z1137" i="34"/>
  <c r="A1137" i="34"/>
  <c r="U1139" i="34"/>
  <c r="Z1139" i="34"/>
  <c r="A1139" i="34"/>
  <c r="U1309" i="34"/>
  <c r="Z1309" i="34"/>
  <c r="A1309" i="34"/>
  <c r="U1311" i="34"/>
  <c r="Z1311" i="34"/>
  <c r="A1311" i="34"/>
  <c r="U1313" i="34"/>
  <c r="Z1313" i="34"/>
  <c r="A1313" i="34"/>
  <c r="U1315" i="34"/>
  <c r="Z1315" i="34"/>
  <c r="A1315" i="34"/>
  <c r="U309" i="34"/>
  <c r="Z309" i="34"/>
  <c r="A309" i="34"/>
  <c r="U311" i="34"/>
  <c r="Z311" i="34"/>
  <c r="A311" i="34"/>
  <c r="U313" i="34"/>
  <c r="Z313" i="34"/>
  <c r="A313" i="34"/>
  <c r="U315" i="34"/>
  <c r="Z315" i="34"/>
  <c r="A315" i="34"/>
  <c r="U643" i="34"/>
  <c r="Z643" i="34"/>
  <c r="A643" i="34"/>
  <c r="U597" i="34"/>
  <c r="Z597" i="34"/>
  <c r="A597" i="34"/>
  <c r="U601" i="34"/>
  <c r="Z601" i="34"/>
  <c r="A601" i="34"/>
  <c r="U605" i="34"/>
  <c r="Z605" i="34"/>
  <c r="A605" i="34"/>
  <c r="U652" i="34"/>
  <c r="Z652" i="34"/>
  <c r="A652" i="34"/>
  <c r="U645" i="34"/>
  <c r="Z645" i="34"/>
  <c r="A645" i="34"/>
  <c r="U648" i="34"/>
  <c r="Z648" i="34"/>
  <c r="A648" i="34"/>
  <c r="AC317" i="34"/>
  <c r="AC1316" i="34"/>
  <c r="AC1140" i="34"/>
  <c r="AC1101" i="34"/>
  <c r="AC654" i="34"/>
  <c r="AC607" i="34"/>
  <c r="K595" i="34" l="1"/>
  <c r="C595" i="34"/>
  <c r="B595" i="34" s="1"/>
  <c r="K594" i="34"/>
  <c r="C594" i="34"/>
  <c r="B594" i="34" s="1"/>
  <c r="K593" i="34"/>
  <c r="C593" i="34"/>
  <c r="B593" i="34" s="1"/>
  <c r="K592" i="34"/>
  <c r="C592" i="34"/>
  <c r="B592" i="34" s="1"/>
  <c r="K591" i="34"/>
  <c r="C591" i="34"/>
  <c r="B591" i="34" s="1"/>
  <c r="K590" i="34"/>
  <c r="C590" i="34"/>
  <c r="B590" i="34" s="1"/>
  <c r="K589" i="34"/>
  <c r="C589" i="34"/>
  <c r="B589" i="34" s="1"/>
  <c r="K588" i="34"/>
  <c r="C588" i="34"/>
  <c r="B588" i="34" s="1"/>
  <c r="K587" i="34"/>
  <c r="C587" i="34"/>
  <c r="B587" i="34" s="1"/>
  <c r="K586" i="34"/>
  <c r="C586" i="34"/>
  <c r="B586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K461" i="34"/>
  <c r="C461" i="34"/>
  <c r="B461" i="34" s="1"/>
  <c r="U462" i="34" l="1"/>
  <c r="Z462" i="34"/>
  <c r="A462" i="34"/>
  <c r="U464" i="34"/>
  <c r="Z464" i="34"/>
  <c r="A464" i="34"/>
  <c r="U587" i="34"/>
  <c r="Z587" i="34"/>
  <c r="A587" i="34"/>
  <c r="U461" i="34"/>
  <c r="Z461" i="34"/>
  <c r="A461" i="34"/>
  <c r="U463" i="34"/>
  <c r="Z463" i="34"/>
  <c r="A463" i="34"/>
  <c r="U465" i="34"/>
  <c r="Z465" i="34"/>
  <c r="A465" i="34"/>
  <c r="U586" i="34"/>
  <c r="Z586" i="34"/>
  <c r="A586" i="34"/>
  <c r="U588" i="34"/>
  <c r="Z588" i="34"/>
  <c r="A588" i="34"/>
  <c r="U590" i="34"/>
  <c r="Z590" i="34"/>
  <c r="A590" i="34"/>
  <c r="U592" i="34"/>
  <c r="Z592" i="34"/>
  <c r="A592" i="34"/>
  <c r="U594" i="34"/>
  <c r="Z594" i="34"/>
  <c r="A594" i="34"/>
  <c r="U466" i="34"/>
  <c r="Z466" i="34"/>
  <c r="A466" i="34"/>
  <c r="U589" i="34"/>
  <c r="Z589" i="34"/>
  <c r="A589" i="34"/>
  <c r="U591" i="34"/>
  <c r="Z591" i="34"/>
  <c r="A591" i="34"/>
  <c r="U593" i="34"/>
  <c r="Z593" i="34"/>
  <c r="A593" i="34"/>
  <c r="U595" i="34"/>
  <c r="Z595" i="34"/>
  <c r="A595" i="34"/>
  <c r="AC596" i="34"/>
  <c r="AC467" i="34"/>
  <c r="K1797" i="34"/>
  <c r="K1703" i="34"/>
  <c r="K1649" i="34"/>
  <c r="K1547" i="34"/>
  <c r="K1458" i="34"/>
  <c r="K1327" i="34"/>
  <c r="K1114" i="34"/>
  <c r="K943" i="34"/>
  <c r="K657" i="34"/>
  <c r="K470" i="34"/>
  <c r="K263" i="34"/>
  <c r="K147" i="34"/>
  <c r="C1795" i="34"/>
  <c r="B1795" i="34" s="1"/>
  <c r="C1701" i="34"/>
  <c r="B1701" i="34" s="1"/>
  <c r="C1647" i="34"/>
  <c r="B1647" i="34" s="1"/>
  <c r="C1545" i="34"/>
  <c r="B1545" i="34" s="1"/>
  <c r="C1456" i="34"/>
  <c r="B1456" i="34" s="1"/>
  <c r="C1325" i="34"/>
  <c r="B1325" i="34" s="1"/>
  <c r="C1112" i="34"/>
  <c r="B1112" i="34" s="1"/>
  <c r="C941" i="34"/>
  <c r="B941" i="34" s="1"/>
  <c r="C655" i="34"/>
  <c r="B655" i="34" s="1"/>
  <c r="C468" i="34"/>
  <c r="B468" i="34" s="1"/>
  <c r="C261" i="34"/>
  <c r="B261" i="34" s="1"/>
  <c r="C145" i="34"/>
  <c r="B145" i="34" s="1"/>
  <c r="U1545" i="34" l="1"/>
  <c r="Z1545" i="34"/>
  <c r="A1545" i="34"/>
  <c r="U468" i="34"/>
  <c r="Z468" i="34"/>
  <c r="A468" i="34"/>
  <c r="U1701" i="34"/>
  <c r="Z1701" i="34"/>
  <c r="A1701" i="34"/>
  <c r="U1325" i="34"/>
  <c r="Z1325" i="34"/>
  <c r="A1325" i="34"/>
  <c r="U655" i="34"/>
  <c r="Z655" i="34"/>
  <c r="A655" i="34"/>
  <c r="U1456" i="34"/>
  <c r="Z1456" i="34"/>
  <c r="A1456" i="34"/>
  <c r="U1795" i="34"/>
  <c r="Z1795" i="34"/>
  <c r="A1795" i="34"/>
  <c r="U145" i="34"/>
  <c r="Z145" i="34"/>
  <c r="A145" i="34"/>
  <c r="U941" i="34"/>
  <c r="Z941" i="34"/>
  <c r="A941" i="34"/>
  <c r="U261" i="34"/>
  <c r="Z261" i="34"/>
  <c r="A261" i="34"/>
  <c r="U1112" i="34"/>
  <c r="Z1112" i="34"/>
  <c r="A1112" i="34"/>
  <c r="U1647" i="34"/>
  <c r="Z1647" i="34"/>
  <c r="A1647" i="34"/>
  <c r="F16" i="55"/>
  <c r="E16" i="55"/>
  <c r="E21" i="68" l="1"/>
  <c r="D21" i="68"/>
  <c r="C21" i="68"/>
  <c r="B21" i="68"/>
  <c r="A21" i="68" s="1"/>
  <c r="D34" i="15" l="1"/>
  <c r="C34" i="15"/>
  <c r="D28" i="15"/>
  <c r="C28" i="15"/>
  <c r="D43" i="15" l="1"/>
  <c r="D55" i="15" s="1"/>
  <c r="C43" i="15"/>
  <c r="B1141" i="34" l="1"/>
  <c r="B1208" i="34"/>
  <c r="B1050" i="34"/>
  <c r="B975" i="34"/>
  <c r="B1109" i="34"/>
  <c r="B981" i="34"/>
  <c r="B869" i="34"/>
  <c r="B1020" i="34"/>
  <c r="B752" i="34"/>
  <c r="B753" i="34"/>
  <c r="B770" i="34"/>
  <c r="U869" i="34" l="1"/>
  <c r="Z869" i="34"/>
  <c r="A869" i="34"/>
  <c r="U753" i="34"/>
  <c r="Z753" i="34"/>
  <c r="A753" i="34"/>
  <c r="U1208" i="34"/>
  <c r="Z1208" i="34"/>
  <c r="A1208" i="34"/>
  <c r="U1020" i="34"/>
  <c r="Z1020" i="34"/>
  <c r="A1020" i="34"/>
  <c r="U975" i="34"/>
  <c r="Z975" i="34"/>
  <c r="A975" i="34"/>
  <c r="U1050" i="34"/>
  <c r="Z1050" i="34"/>
  <c r="A1050" i="34"/>
  <c r="U981" i="34"/>
  <c r="Z981" i="34"/>
  <c r="A981" i="34"/>
  <c r="U770" i="34"/>
  <c r="Z770" i="34"/>
  <c r="A770" i="34"/>
  <c r="U752" i="34"/>
  <c r="Z752" i="34"/>
  <c r="A752" i="34"/>
  <c r="U1109" i="34"/>
  <c r="Z1109" i="34"/>
  <c r="A1109" i="34"/>
  <c r="U1141" i="34"/>
  <c r="Z1141" i="34"/>
  <c r="A1141" i="34"/>
  <c r="B734" i="34"/>
  <c r="B581" i="34"/>
  <c r="U581" i="34" l="1"/>
  <c r="Z581" i="34"/>
  <c r="A581" i="34"/>
  <c r="U734" i="34"/>
  <c r="Z734" i="34"/>
  <c r="A734" i="34"/>
  <c r="B1251" i="34"/>
  <c r="B1248" i="34"/>
  <c r="B1221" i="34"/>
  <c r="B1214" i="34"/>
  <c r="B356" i="34"/>
  <c r="B1652" i="34"/>
  <c r="B1630" i="34"/>
  <c r="B1615" i="34"/>
  <c r="B1486" i="34"/>
  <c r="B1469" i="34"/>
  <c r="B1436" i="34"/>
  <c r="B1432" i="34"/>
  <c r="B1392" i="34"/>
  <c r="B1385" i="34"/>
  <c r="B1377" i="34"/>
  <c r="U1469" i="34" l="1"/>
  <c r="Z1469" i="34"/>
  <c r="A1469" i="34"/>
  <c r="U1248" i="34"/>
  <c r="Z1248" i="34"/>
  <c r="A1248" i="34"/>
  <c r="U1432" i="34"/>
  <c r="Z1432" i="34"/>
  <c r="A1432" i="34"/>
  <c r="U1615" i="34"/>
  <c r="Z1615" i="34"/>
  <c r="A1615" i="34"/>
  <c r="U1214" i="34"/>
  <c r="Z1214" i="34"/>
  <c r="A1214" i="34"/>
  <c r="U1377" i="34"/>
  <c r="Z1377" i="34"/>
  <c r="A1377" i="34"/>
  <c r="U1436" i="34"/>
  <c r="Z1436" i="34"/>
  <c r="A1436" i="34"/>
  <c r="U1630" i="34"/>
  <c r="Z1630" i="34"/>
  <c r="A1630" i="34"/>
  <c r="U1221" i="34"/>
  <c r="Z1221" i="34"/>
  <c r="A1221" i="34"/>
  <c r="U1385" i="34"/>
  <c r="Z1385" i="34"/>
  <c r="A1385" i="34"/>
  <c r="U1652" i="34"/>
  <c r="Z1652" i="34"/>
  <c r="A1652" i="34"/>
  <c r="U1392" i="34"/>
  <c r="Z1392" i="34"/>
  <c r="A1392" i="34"/>
  <c r="U1486" i="34"/>
  <c r="Z1486" i="34"/>
  <c r="A1486" i="34"/>
  <c r="U356" i="34"/>
  <c r="Z356" i="34"/>
  <c r="A356" i="34"/>
  <c r="U1251" i="34"/>
  <c r="Z1251" i="34"/>
  <c r="A1251" i="34"/>
  <c r="B1169" i="34"/>
  <c r="B1162" i="34"/>
  <c r="B1153" i="34"/>
  <c r="B1123" i="34"/>
  <c r="B1106" i="34"/>
  <c r="B1074" i="34"/>
  <c r="B1057" i="34"/>
  <c r="K1037" i="34"/>
  <c r="B1037" i="34"/>
  <c r="B1033" i="34"/>
  <c r="B993" i="34"/>
  <c r="B969" i="34"/>
  <c r="B876" i="34"/>
  <c r="B865" i="34"/>
  <c r="B822" i="34"/>
  <c r="B801" i="34"/>
  <c r="B764" i="34"/>
  <c r="B761" i="34"/>
  <c r="B726" i="34"/>
  <c r="B718" i="34"/>
  <c r="B635" i="34"/>
  <c r="B571" i="34"/>
  <c r="B96" i="34"/>
  <c r="B1785" i="34"/>
  <c r="B1781" i="34"/>
  <c r="B1777" i="34"/>
  <c r="B1774" i="34"/>
  <c r="B413" i="34"/>
  <c r="B338" i="34"/>
  <c r="B1067" i="34"/>
  <c r="B954" i="34"/>
  <c r="B890" i="34"/>
  <c r="B424" i="34"/>
  <c r="B1730" i="34"/>
  <c r="B1720" i="34"/>
  <c r="B1715" i="34"/>
  <c r="U890" i="34" l="1"/>
  <c r="Z890" i="34"/>
  <c r="A890" i="34"/>
  <c r="U801" i="34"/>
  <c r="Z801" i="34"/>
  <c r="A801" i="34"/>
  <c r="U1067" i="34"/>
  <c r="Z1067" i="34"/>
  <c r="A1067" i="34"/>
  <c r="U1777" i="34"/>
  <c r="Z1777" i="34"/>
  <c r="A1777" i="34"/>
  <c r="U761" i="34"/>
  <c r="Z761" i="34"/>
  <c r="A761" i="34"/>
  <c r="U865" i="34"/>
  <c r="Z865" i="34"/>
  <c r="A865" i="34"/>
  <c r="U1033" i="34"/>
  <c r="Z1033" i="34"/>
  <c r="A1033" i="34"/>
  <c r="U1074" i="34"/>
  <c r="Z1074" i="34"/>
  <c r="A1074" i="34"/>
  <c r="U1162" i="34"/>
  <c r="Z1162" i="34"/>
  <c r="A1162" i="34"/>
  <c r="U1715" i="34"/>
  <c r="Z1715" i="34"/>
  <c r="A1715" i="34"/>
  <c r="U413" i="34"/>
  <c r="Z413" i="34"/>
  <c r="A413" i="34"/>
  <c r="U1730" i="34"/>
  <c r="Z1730" i="34"/>
  <c r="A1730" i="34"/>
  <c r="U571" i="34"/>
  <c r="Z571" i="34"/>
  <c r="A571" i="34"/>
  <c r="U424" i="34"/>
  <c r="Z424" i="34"/>
  <c r="A424" i="34"/>
  <c r="U338" i="34"/>
  <c r="Z338" i="34"/>
  <c r="A338" i="34"/>
  <c r="U1781" i="34"/>
  <c r="Z1781" i="34"/>
  <c r="A1781" i="34"/>
  <c r="U635" i="34"/>
  <c r="Z635" i="34"/>
  <c r="A635" i="34"/>
  <c r="U764" i="34"/>
  <c r="Z764" i="34"/>
  <c r="A764" i="34"/>
  <c r="U876" i="34"/>
  <c r="Z876" i="34"/>
  <c r="A876" i="34"/>
  <c r="U1037" i="34"/>
  <c r="Z1037" i="34"/>
  <c r="A1037" i="34"/>
  <c r="U1106" i="34"/>
  <c r="Z1106" i="34"/>
  <c r="A1106" i="34"/>
  <c r="U1169" i="34"/>
  <c r="Z1169" i="34"/>
  <c r="A1169" i="34"/>
  <c r="U718" i="34"/>
  <c r="Z718" i="34"/>
  <c r="A718" i="34"/>
  <c r="U1785" i="34"/>
  <c r="Z1785" i="34"/>
  <c r="A1785" i="34"/>
  <c r="U969" i="34"/>
  <c r="Z969" i="34"/>
  <c r="A969" i="34"/>
  <c r="U1123" i="34"/>
  <c r="Z1123" i="34"/>
  <c r="A1123" i="34"/>
  <c r="U1720" i="34"/>
  <c r="Z1720" i="34"/>
  <c r="A1720" i="34"/>
  <c r="U954" i="34"/>
  <c r="Z954" i="34"/>
  <c r="A954" i="34"/>
  <c r="U1774" i="34"/>
  <c r="Z1774" i="34"/>
  <c r="A1774" i="34"/>
  <c r="U96" i="34"/>
  <c r="Z96" i="34"/>
  <c r="A96" i="34"/>
  <c r="U726" i="34"/>
  <c r="Z726" i="34"/>
  <c r="A726" i="34"/>
  <c r="U822" i="34"/>
  <c r="Z822" i="34"/>
  <c r="A822" i="34"/>
  <c r="U993" i="34"/>
  <c r="Z993" i="34"/>
  <c r="A993" i="34"/>
  <c r="U1057" i="34"/>
  <c r="Z1057" i="34"/>
  <c r="A1057" i="34"/>
  <c r="U1153" i="34"/>
  <c r="Z1153" i="34"/>
  <c r="A1153" i="34"/>
  <c r="B1322" i="34"/>
  <c r="B1271" i="34"/>
  <c r="U1271" i="34" l="1"/>
  <c r="Z1271" i="34"/>
  <c r="A1271" i="34"/>
  <c r="U1322" i="34"/>
  <c r="Z1322" i="34"/>
  <c r="A1322" i="34"/>
  <c r="B1515" i="34"/>
  <c r="U1515" i="34" l="1"/>
  <c r="Z1515" i="34"/>
  <c r="A1515" i="34"/>
  <c r="C1472" i="34"/>
  <c r="B1472" i="34" s="1"/>
  <c r="U1472" i="34" l="1"/>
  <c r="Z1472" i="34"/>
  <c r="A1472" i="34"/>
  <c r="B1041" i="34"/>
  <c r="B1043" i="34"/>
  <c r="C1111" i="34"/>
  <c r="B1111" i="34" s="1"/>
  <c r="C1110" i="34"/>
  <c r="B1110" i="34" s="1"/>
  <c r="R1043" i="34" l="1"/>
  <c r="S1043" i="34"/>
  <c r="T1043" i="34"/>
  <c r="U1043" i="34"/>
  <c r="Z1043" i="34"/>
  <c r="A1043" i="34"/>
  <c r="R1041" i="34"/>
  <c r="S1041" i="34"/>
  <c r="T1041" i="34"/>
  <c r="U1041" i="34"/>
  <c r="Z1041" i="34"/>
  <c r="A1041" i="34"/>
  <c r="U1110" i="34"/>
  <c r="Z1110" i="34"/>
  <c r="A1110" i="34"/>
  <c r="U1111" i="34"/>
  <c r="Z1111" i="34"/>
  <c r="A1111" i="34"/>
  <c r="C11" i="15"/>
  <c r="C22" i="15"/>
  <c r="C434" i="34" l="1"/>
  <c r="B434" i="34" s="1"/>
  <c r="B279" i="34"/>
  <c r="C1792" i="34"/>
  <c r="C1793" i="34"/>
  <c r="C1794" i="34"/>
  <c r="C1090" i="34"/>
  <c r="B1090" i="34" s="1"/>
  <c r="U279" i="34" l="1"/>
  <c r="Z279" i="34"/>
  <c r="A279" i="34"/>
  <c r="U1090" i="34"/>
  <c r="Z1090" i="34"/>
  <c r="A1090" i="34"/>
  <c r="U434" i="34"/>
  <c r="Z434" i="34"/>
  <c r="A434" i="34"/>
  <c r="C668" i="34"/>
  <c r="B668" i="34" s="1"/>
  <c r="U668" i="34" l="1"/>
  <c r="Z668" i="34"/>
  <c r="A668" i="34"/>
  <c r="C1086" i="34"/>
  <c r="B1086" i="34" s="1"/>
  <c r="C560" i="34"/>
  <c r="B560" i="34" s="1"/>
  <c r="C183" i="34"/>
  <c r="B183" i="34" s="1"/>
  <c r="C63" i="34"/>
  <c r="B63" i="34" s="1"/>
  <c r="U560" i="34" l="1"/>
  <c r="Z560" i="34"/>
  <c r="A560" i="34"/>
  <c r="U1086" i="34"/>
  <c r="Z1086" i="34"/>
  <c r="A1086" i="34"/>
  <c r="U63" i="34"/>
  <c r="Z63" i="34"/>
  <c r="A63" i="34"/>
  <c r="U183" i="34"/>
  <c r="Z183" i="34"/>
  <c r="A183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807" i="34" l="1"/>
  <c r="B807" i="34" s="1"/>
  <c r="U807" i="34" l="1"/>
  <c r="Z807" i="34"/>
  <c r="A807" i="34"/>
  <c r="C872" i="34"/>
  <c r="B872" i="34" s="1"/>
  <c r="C868" i="34"/>
  <c r="B868" i="34" s="1"/>
  <c r="C860" i="34"/>
  <c r="B860" i="34" s="1"/>
  <c r="K857" i="34"/>
  <c r="C843" i="34"/>
  <c r="B843" i="34" s="1"/>
  <c r="U868" i="34" l="1"/>
  <c r="Z868" i="34"/>
  <c r="A868" i="34"/>
  <c r="U843" i="34"/>
  <c r="Z843" i="34"/>
  <c r="A843" i="34"/>
  <c r="U872" i="34"/>
  <c r="Z872" i="34"/>
  <c r="A872" i="34"/>
  <c r="U860" i="34"/>
  <c r="Z860" i="34"/>
  <c r="A860" i="34"/>
  <c r="C43" i="34"/>
  <c r="B43" i="34" s="1"/>
  <c r="C46" i="34"/>
  <c r="B46" i="34" s="1"/>
  <c r="C50" i="34"/>
  <c r="B50" i="34" s="1"/>
  <c r="C210" i="34"/>
  <c r="B210" i="34" s="1"/>
  <c r="C214" i="34"/>
  <c r="B214" i="34" s="1"/>
  <c r="U50" i="34" l="1"/>
  <c r="Z50" i="34"/>
  <c r="A50" i="34"/>
  <c r="U46" i="34"/>
  <c r="Z46" i="34"/>
  <c r="A46" i="34"/>
  <c r="U210" i="34"/>
  <c r="Z210" i="34"/>
  <c r="A210" i="34"/>
  <c r="U214" i="34"/>
  <c r="Z214" i="34"/>
  <c r="A214" i="34"/>
  <c r="U43" i="34"/>
  <c r="Z43" i="34"/>
  <c r="A43" i="34"/>
  <c r="C321" i="34"/>
  <c r="B321" i="34" s="1"/>
  <c r="C324" i="34"/>
  <c r="B324" i="34" s="1"/>
  <c r="C329" i="34"/>
  <c r="B329" i="34" s="1"/>
  <c r="C349" i="34"/>
  <c r="B349" i="34" s="1"/>
  <c r="C396" i="34"/>
  <c r="B396" i="34" s="1"/>
  <c r="C400" i="34"/>
  <c r="B400" i="34" s="1"/>
  <c r="C419" i="34"/>
  <c r="B419" i="34" s="1"/>
  <c r="C431" i="34"/>
  <c r="B431" i="34" s="1"/>
  <c r="C437" i="34"/>
  <c r="B437" i="34" s="1"/>
  <c r="C442" i="34"/>
  <c r="B442" i="34" s="1"/>
  <c r="C479" i="34"/>
  <c r="B479" i="34" s="1"/>
  <c r="C493" i="34"/>
  <c r="B493" i="34" s="1"/>
  <c r="C542" i="34"/>
  <c r="B542" i="34" s="1"/>
  <c r="C500" i="34"/>
  <c r="B500" i="34" s="1"/>
  <c r="C557" i="34"/>
  <c r="B557" i="34" s="1"/>
  <c r="C585" i="34"/>
  <c r="B585" i="34" s="1"/>
  <c r="C661" i="34"/>
  <c r="B661" i="34" s="1"/>
  <c r="C672" i="34"/>
  <c r="B672" i="34" s="1"/>
  <c r="C685" i="34"/>
  <c r="B685" i="34" s="1"/>
  <c r="C688" i="34"/>
  <c r="B688" i="34" s="1"/>
  <c r="C707" i="34"/>
  <c r="B707" i="34" s="1"/>
  <c r="C737" i="34"/>
  <c r="B737" i="34" s="1"/>
  <c r="C769" i="34"/>
  <c r="B769" i="34" s="1"/>
  <c r="C784" i="34"/>
  <c r="B784" i="34" s="1"/>
  <c r="C806" i="34"/>
  <c r="B806" i="34" s="1"/>
  <c r="C832" i="34"/>
  <c r="B832" i="34" s="1"/>
  <c r="A41" i="70"/>
  <c r="A42" i="70"/>
  <c r="A43" i="70"/>
  <c r="A44" i="70"/>
  <c r="A45" i="70"/>
  <c r="A46" i="70"/>
  <c r="A47" i="70"/>
  <c r="A48" i="70"/>
  <c r="A49" i="70"/>
  <c r="C835" i="34"/>
  <c r="B835" i="34" s="1"/>
  <c r="C936" i="34"/>
  <c r="B936" i="34" s="1"/>
  <c r="C957" i="34"/>
  <c r="B957" i="34" s="1"/>
  <c r="C960" i="34"/>
  <c r="B960" i="34" s="1"/>
  <c r="C966" i="34"/>
  <c r="B966" i="34" s="1"/>
  <c r="C1019" i="34"/>
  <c r="B1019" i="34" s="1"/>
  <c r="C1025" i="34"/>
  <c r="B1025" i="34" s="1"/>
  <c r="C1060" i="34"/>
  <c r="B1060" i="34" s="1"/>
  <c r="C1172" i="34"/>
  <c r="B1172" i="34" s="1"/>
  <c r="C1175" i="34"/>
  <c r="B1175" i="34" s="1"/>
  <c r="C1180" i="34"/>
  <c r="B1180" i="34" s="1"/>
  <c r="C1224" i="34"/>
  <c r="B1224" i="34" s="1"/>
  <c r="C1231" i="34"/>
  <c r="B1231" i="34" s="1"/>
  <c r="C1291" i="34"/>
  <c r="B1291" i="34" s="1"/>
  <c r="C1295" i="34"/>
  <c r="B1295" i="34" s="1"/>
  <c r="C1294" i="34"/>
  <c r="B1294" i="34" s="1"/>
  <c r="C1307" i="34"/>
  <c r="B1307" i="34" s="1"/>
  <c r="C1330" i="34"/>
  <c r="B1330" i="34" s="1"/>
  <c r="C1334" i="34"/>
  <c r="B1334" i="34" s="1"/>
  <c r="C1337" i="34"/>
  <c r="B1337" i="34" s="1"/>
  <c r="C1346" i="34"/>
  <c r="B1346" i="34" s="1"/>
  <c r="C1357" i="34"/>
  <c r="B1357" i="34" s="1"/>
  <c r="C1362" i="34"/>
  <c r="B1362" i="34" s="1"/>
  <c r="C1403" i="34"/>
  <c r="B1403" i="34" s="1"/>
  <c r="C1451" i="34"/>
  <c r="B1451" i="34" s="1"/>
  <c r="C1481" i="34"/>
  <c r="B1481" i="34" s="1"/>
  <c r="C1502" i="34"/>
  <c r="B1502" i="34" s="1"/>
  <c r="C1506" i="34"/>
  <c r="B1506" i="34" s="1"/>
  <c r="C1513" i="34"/>
  <c r="B1513" i="34" s="1"/>
  <c r="C1526" i="34"/>
  <c r="B1526" i="34" s="1"/>
  <c r="C1568" i="34"/>
  <c r="B1568" i="34" s="1"/>
  <c r="C1585" i="34"/>
  <c r="B1585" i="34" s="1"/>
  <c r="C1595" i="34"/>
  <c r="B1595" i="34" s="1"/>
  <c r="C1599" i="34"/>
  <c r="B1599" i="34" s="1"/>
  <c r="C1604" i="34"/>
  <c r="B1604" i="34" s="1"/>
  <c r="C1656" i="34"/>
  <c r="B1656" i="34" s="1"/>
  <c r="C1664" i="34"/>
  <c r="B1664" i="34" s="1"/>
  <c r="C1684" i="34"/>
  <c r="B1684" i="34" s="1"/>
  <c r="C1697" i="34"/>
  <c r="B1697" i="34" s="1"/>
  <c r="C1725" i="34"/>
  <c r="B1725" i="34" s="1"/>
  <c r="C1739" i="34"/>
  <c r="B1739" i="34" s="1"/>
  <c r="C1745" i="34"/>
  <c r="B1745" i="34" s="1"/>
  <c r="C1752" i="34"/>
  <c r="B1752" i="34" s="1"/>
  <c r="C1755" i="34"/>
  <c r="B175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89" i="34"/>
  <c r="B1789" i="34" s="1"/>
  <c r="K939" i="34"/>
  <c r="C939" i="34"/>
  <c r="B939" i="34" s="1"/>
  <c r="K938" i="34"/>
  <c r="C938" i="34"/>
  <c r="B938" i="34" s="1"/>
  <c r="C940" i="34"/>
  <c r="B940" i="34" s="1"/>
  <c r="K937" i="34"/>
  <c r="C937" i="34"/>
  <c r="B937" i="34" s="1"/>
  <c r="K689" i="34"/>
  <c r="C690" i="34"/>
  <c r="B690" i="34" s="1"/>
  <c r="C689" i="34"/>
  <c r="B689" i="34" s="1"/>
  <c r="C654" i="34"/>
  <c r="B654" i="34" s="1"/>
  <c r="C607" i="34"/>
  <c r="B607" i="34" s="1"/>
  <c r="C596" i="34"/>
  <c r="B596" i="34" s="1"/>
  <c r="K540" i="34"/>
  <c r="C540" i="34"/>
  <c r="B540" i="34" s="1"/>
  <c r="K539" i="34"/>
  <c r="C539" i="34"/>
  <c r="B539" i="34" s="1"/>
  <c r="C541" i="34"/>
  <c r="B541" i="34" s="1"/>
  <c r="K538" i="34"/>
  <c r="C538" i="34"/>
  <c r="B538" i="34" s="1"/>
  <c r="C467" i="34"/>
  <c r="B467" i="34" s="1"/>
  <c r="K213" i="34"/>
  <c r="C213" i="34"/>
  <c r="B213" i="34" s="1"/>
  <c r="C215" i="34"/>
  <c r="B215" i="34" s="1"/>
  <c r="K212" i="34"/>
  <c r="C212" i="34"/>
  <c r="B212" i="34" s="1"/>
  <c r="K202" i="34"/>
  <c r="C202" i="34"/>
  <c r="B202" i="34" s="1"/>
  <c r="C203" i="34"/>
  <c r="B203" i="34" s="1"/>
  <c r="K201" i="34"/>
  <c r="C201" i="34"/>
  <c r="B201" i="34" s="1"/>
  <c r="C185" i="34"/>
  <c r="B185" i="34" s="1"/>
  <c r="K184" i="34"/>
  <c r="C184" i="34"/>
  <c r="B184" i="34" s="1"/>
  <c r="J149" i="34"/>
  <c r="K151" i="34"/>
  <c r="C151" i="34"/>
  <c r="B151" i="34" s="1"/>
  <c r="K150" i="34"/>
  <c r="C150" i="34"/>
  <c r="B150" i="34" s="1"/>
  <c r="K153" i="34"/>
  <c r="C153" i="34"/>
  <c r="B153" i="34" s="1"/>
  <c r="K152" i="34"/>
  <c r="C152" i="34"/>
  <c r="B152" i="34" s="1"/>
  <c r="C149" i="34"/>
  <c r="B149" i="34" s="1"/>
  <c r="K148" i="34"/>
  <c r="C148" i="34"/>
  <c r="B148" i="34" s="1"/>
  <c r="K155" i="34"/>
  <c r="C155" i="34"/>
  <c r="B155" i="34" s="1"/>
  <c r="K154" i="34"/>
  <c r="C154" i="34"/>
  <c r="B154" i="34" s="1"/>
  <c r="K156" i="34"/>
  <c r="C156" i="34"/>
  <c r="B156" i="34" s="1"/>
  <c r="C158" i="34"/>
  <c r="B158" i="34" s="1"/>
  <c r="K157" i="34"/>
  <c r="C157" i="34"/>
  <c r="B157" i="34" s="1"/>
  <c r="K135" i="34"/>
  <c r="K136" i="34"/>
  <c r="K140" i="34"/>
  <c r="K141" i="34"/>
  <c r="K142" i="34"/>
  <c r="K124" i="34"/>
  <c r="C135" i="34"/>
  <c r="B135" i="34" s="1"/>
  <c r="K134" i="34"/>
  <c r="C134" i="34"/>
  <c r="B134" i="34" s="1"/>
  <c r="K139" i="34"/>
  <c r="C139" i="34"/>
  <c r="B139" i="34" s="1"/>
  <c r="K138" i="34"/>
  <c r="C138" i="34"/>
  <c r="B138" i="34" s="1"/>
  <c r="K137" i="34"/>
  <c r="C137" i="34"/>
  <c r="B137" i="34" s="1"/>
  <c r="C136" i="34"/>
  <c r="B136" i="34" s="1"/>
  <c r="C141" i="34"/>
  <c r="B141" i="34" s="1"/>
  <c r="C140" i="34"/>
  <c r="B140" i="34" s="1"/>
  <c r="K143" i="34"/>
  <c r="C143" i="34"/>
  <c r="B143" i="34" s="1"/>
  <c r="C144" i="34"/>
  <c r="B144" i="34" s="1"/>
  <c r="C142" i="34"/>
  <c r="B142" i="34" s="1"/>
  <c r="K120" i="34"/>
  <c r="C120" i="34"/>
  <c r="B120" i="34" s="1"/>
  <c r="K119" i="34"/>
  <c r="C119" i="34"/>
  <c r="B119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6" i="34"/>
  <c r="C126" i="34"/>
  <c r="B126" i="34" s="1"/>
  <c r="K125" i="34"/>
  <c r="C125" i="34"/>
  <c r="B125" i="34" s="1"/>
  <c r="K127" i="34"/>
  <c r="C127" i="34"/>
  <c r="B127" i="34" s="1"/>
  <c r="C129" i="34"/>
  <c r="B129" i="34" s="1"/>
  <c r="K128" i="34"/>
  <c r="C128" i="34"/>
  <c r="B128" i="34" s="1"/>
  <c r="K112" i="34"/>
  <c r="K113" i="34"/>
  <c r="K114" i="34"/>
  <c r="K115" i="34"/>
  <c r="K111" i="34"/>
  <c r="C116" i="34"/>
  <c r="B116" i="34" s="1"/>
  <c r="C115" i="34"/>
  <c r="B115" i="34" s="1"/>
  <c r="C114" i="34"/>
  <c r="B114" i="34" s="1"/>
  <c r="C113" i="34"/>
  <c r="B113" i="34" s="1"/>
  <c r="C112" i="34"/>
  <c r="B112" i="34" s="1"/>
  <c r="C111" i="34"/>
  <c r="B111" i="34" s="1"/>
  <c r="K110" i="34"/>
  <c r="C110" i="34"/>
  <c r="B110" i="34" s="1"/>
  <c r="K109" i="34"/>
  <c r="C109" i="34"/>
  <c r="B109" i="34" s="1"/>
  <c r="K108" i="34"/>
  <c r="C108" i="34"/>
  <c r="B108" i="34" s="1"/>
  <c r="K107" i="34"/>
  <c r="C107" i="34"/>
  <c r="B107" i="34" s="1"/>
  <c r="K106" i="34"/>
  <c r="C106" i="34"/>
  <c r="B106" i="34" s="1"/>
  <c r="J449" i="34"/>
  <c r="K453" i="34"/>
  <c r="K447" i="34"/>
  <c r="C447" i="34"/>
  <c r="B447" i="34" s="1"/>
  <c r="K446" i="34"/>
  <c r="C446" i="34"/>
  <c r="B446" i="34" s="1"/>
  <c r="K451" i="34"/>
  <c r="C451" i="34"/>
  <c r="B451" i="34" s="1"/>
  <c r="K450" i="34"/>
  <c r="C450" i="34"/>
  <c r="B450" i="34" s="1"/>
  <c r="C449" i="34"/>
  <c r="B449" i="34" s="1"/>
  <c r="K448" i="34"/>
  <c r="C448" i="34"/>
  <c r="B448" i="34" s="1"/>
  <c r="C453" i="34"/>
  <c r="B453" i="34" s="1"/>
  <c r="K452" i="34"/>
  <c r="C452" i="34"/>
  <c r="B452" i="34" s="1"/>
  <c r="K445" i="34"/>
  <c r="C445" i="34"/>
  <c r="B445" i="34" s="1"/>
  <c r="K444" i="34"/>
  <c r="C444" i="34"/>
  <c r="B444" i="34" s="1"/>
  <c r="K443" i="34"/>
  <c r="C443" i="34"/>
  <c r="B443" i="34" s="1"/>
  <c r="K455" i="34"/>
  <c r="I457" i="34"/>
  <c r="K457" i="34" s="1"/>
  <c r="I456" i="34"/>
  <c r="C457" i="34"/>
  <c r="B457" i="34" s="1"/>
  <c r="C456" i="34"/>
  <c r="B456" i="34" s="1"/>
  <c r="C455" i="34"/>
  <c r="B455" i="34" s="1"/>
  <c r="K919" i="34"/>
  <c r="C919" i="34"/>
  <c r="B919" i="34" s="1"/>
  <c r="K925" i="34"/>
  <c r="C925" i="34"/>
  <c r="B925" i="34" s="1"/>
  <c r="K916" i="34"/>
  <c r="C916" i="34"/>
  <c r="B916" i="34" s="1"/>
  <c r="K909" i="34"/>
  <c r="C909" i="34"/>
  <c r="B909" i="34" s="1"/>
  <c r="K926" i="34"/>
  <c r="C926" i="34"/>
  <c r="B926" i="34" s="1"/>
  <c r="K924" i="34"/>
  <c r="C924" i="34"/>
  <c r="B924" i="34" s="1"/>
  <c r="K903" i="34"/>
  <c r="C903" i="34"/>
  <c r="B903" i="34" s="1"/>
  <c r="K918" i="34"/>
  <c r="C918" i="34"/>
  <c r="B918" i="34" s="1"/>
  <c r="K911" i="34"/>
  <c r="C911" i="34"/>
  <c r="B911" i="34" s="1"/>
  <c r="K921" i="34"/>
  <c r="C921" i="34"/>
  <c r="B921" i="34" s="1"/>
  <c r="K907" i="34"/>
  <c r="C907" i="34"/>
  <c r="B907" i="34" s="1"/>
  <c r="K927" i="34"/>
  <c r="C927" i="34"/>
  <c r="B927" i="34" s="1"/>
  <c r="K913" i="34"/>
  <c r="C913" i="34"/>
  <c r="B913" i="34" s="1"/>
  <c r="K914" i="34"/>
  <c r="C914" i="34"/>
  <c r="B914" i="34" s="1"/>
  <c r="K915" i="34"/>
  <c r="C915" i="34"/>
  <c r="B915" i="34" s="1"/>
  <c r="K901" i="34"/>
  <c r="C901" i="34"/>
  <c r="B901" i="34" s="1"/>
  <c r="K930" i="34"/>
  <c r="C930" i="34"/>
  <c r="B930" i="34" s="1"/>
  <c r="K908" i="34"/>
  <c r="C908" i="34"/>
  <c r="B908" i="34" s="1"/>
  <c r="K932" i="34"/>
  <c r="C932" i="34"/>
  <c r="B932" i="34" s="1"/>
  <c r="I929" i="34"/>
  <c r="K929" i="34" s="1"/>
  <c r="K905" i="34"/>
  <c r="C905" i="34"/>
  <c r="B905" i="34" s="1"/>
  <c r="K920" i="34"/>
  <c r="C920" i="34"/>
  <c r="B920" i="34" s="1"/>
  <c r="K902" i="34"/>
  <c r="C902" i="34"/>
  <c r="B902" i="34" s="1"/>
  <c r="K912" i="34"/>
  <c r="C912" i="34"/>
  <c r="B912" i="34" s="1"/>
  <c r="K904" i="34"/>
  <c r="C904" i="34"/>
  <c r="B904" i="34" s="1"/>
  <c r="K928" i="34"/>
  <c r="C928" i="34"/>
  <c r="B928" i="34" s="1"/>
  <c r="K922" i="34"/>
  <c r="C922" i="34"/>
  <c r="B922" i="34" s="1"/>
  <c r="C929" i="34"/>
  <c r="B929" i="34" s="1"/>
  <c r="K931" i="34"/>
  <c r="K906" i="34"/>
  <c r="K910" i="34"/>
  <c r="K917" i="34"/>
  <c r="K923" i="34"/>
  <c r="C931" i="34"/>
  <c r="B931" i="34" s="1"/>
  <c r="C923" i="34"/>
  <c r="B923" i="34" s="1"/>
  <c r="C910" i="34"/>
  <c r="B910" i="34" s="1"/>
  <c r="C906" i="34"/>
  <c r="B906" i="34" s="1"/>
  <c r="C917" i="34"/>
  <c r="B917" i="34" s="1"/>
  <c r="U929" i="34" l="1"/>
  <c r="Z929" i="34"/>
  <c r="A929" i="34"/>
  <c r="U932" i="34"/>
  <c r="Z932" i="34"/>
  <c r="A932" i="34"/>
  <c r="U930" i="34"/>
  <c r="Z930" i="34"/>
  <c r="A930" i="34"/>
  <c r="U915" i="34"/>
  <c r="Z915" i="34"/>
  <c r="A915" i="34"/>
  <c r="U913" i="34"/>
  <c r="Z913" i="34"/>
  <c r="A913" i="34"/>
  <c r="U907" i="34"/>
  <c r="Z907" i="34"/>
  <c r="A907" i="34"/>
  <c r="U911" i="34"/>
  <c r="Z911" i="34"/>
  <c r="A911" i="34"/>
  <c r="U903" i="34"/>
  <c r="Z903" i="34"/>
  <c r="A903" i="34"/>
  <c r="U926" i="34"/>
  <c r="Z926" i="34"/>
  <c r="A926" i="34"/>
  <c r="U916" i="34"/>
  <c r="Z916" i="34"/>
  <c r="A916" i="34"/>
  <c r="U919" i="34"/>
  <c r="Z919" i="34"/>
  <c r="A919" i="34"/>
  <c r="U457" i="34"/>
  <c r="Z457" i="34"/>
  <c r="A457" i="34"/>
  <c r="U443" i="34"/>
  <c r="Z443" i="34"/>
  <c r="A443" i="34"/>
  <c r="U445" i="34"/>
  <c r="Z445" i="34"/>
  <c r="A445" i="34"/>
  <c r="U453" i="34"/>
  <c r="Z453" i="34"/>
  <c r="A453" i="34"/>
  <c r="U450" i="34"/>
  <c r="Z450" i="34"/>
  <c r="A450" i="34"/>
  <c r="U446" i="34"/>
  <c r="Z446" i="34"/>
  <c r="A446" i="34"/>
  <c r="U107" i="34"/>
  <c r="Z107" i="34"/>
  <c r="A107" i="34"/>
  <c r="U109" i="34"/>
  <c r="Z109" i="34"/>
  <c r="A109" i="34"/>
  <c r="U111" i="34"/>
  <c r="Z111" i="34"/>
  <c r="A111" i="34"/>
  <c r="U115" i="34"/>
  <c r="Z115" i="34"/>
  <c r="A115" i="34"/>
  <c r="U125" i="34"/>
  <c r="Z125" i="34"/>
  <c r="A125" i="34"/>
  <c r="U121" i="34"/>
  <c r="Z121" i="34"/>
  <c r="A121" i="34"/>
  <c r="U123" i="34"/>
  <c r="Z123" i="34"/>
  <c r="A123" i="34"/>
  <c r="U144" i="34"/>
  <c r="Z144" i="34"/>
  <c r="A144" i="34"/>
  <c r="U141" i="34"/>
  <c r="Z141" i="34"/>
  <c r="A141" i="34"/>
  <c r="U138" i="34"/>
  <c r="Z138" i="34"/>
  <c r="A138" i="34"/>
  <c r="U134" i="34"/>
  <c r="Z134" i="34"/>
  <c r="A134" i="34"/>
  <c r="U156" i="34"/>
  <c r="Z156" i="34"/>
  <c r="A156" i="34"/>
  <c r="U155" i="34"/>
  <c r="Z155" i="34"/>
  <c r="A155" i="34"/>
  <c r="U149" i="34"/>
  <c r="Z149" i="34"/>
  <c r="A149" i="34"/>
  <c r="U185" i="34"/>
  <c r="Z185" i="34"/>
  <c r="A185" i="34"/>
  <c r="U202" i="34"/>
  <c r="Z202" i="34"/>
  <c r="A202" i="34"/>
  <c r="U215" i="34"/>
  <c r="Z215" i="34"/>
  <c r="A215" i="34"/>
  <c r="U538" i="34"/>
  <c r="Z538" i="34"/>
  <c r="A538" i="34"/>
  <c r="U607" i="34"/>
  <c r="Z607" i="34"/>
  <c r="A607" i="34"/>
  <c r="U938" i="34"/>
  <c r="Z938" i="34"/>
  <c r="A938" i="34"/>
  <c r="U1789" i="34"/>
  <c r="Z1789" i="34"/>
  <c r="A1789" i="34"/>
  <c r="U1752" i="34"/>
  <c r="Z1752" i="34"/>
  <c r="A1752" i="34"/>
  <c r="U1697" i="34"/>
  <c r="Z1697" i="34"/>
  <c r="A1697" i="34"/>
  <c r="U1604" i="34"/>
  <c r="Z1604" i="34"/>
  <c r="A1604" i="34"/>
  <c r="U1568" i="34"/>
  <c r="Z1568" i="34"/>
  <c r="A1568" i="34"/>
  <c r="U1502" i="34"/>
  <c r="Z1502" i="34"/>
  <c r="A1502" i="34"/>
  <c r="U1362" i="34"/>
  <c r="Z1362" i="34"/>
  <c r="A1362" i="34"/>
  <c r="U1334" i="34"/>
  <c r="Z1334" i="34"/>
  <c r="A1334" i="34"/>
  <c r="U1295" i="34"/>
  <c r="Z1295" i="34"/>
  <c r="A1295" i="34"/>
  <c r="U1180" i="34"/>
  <c r="Z1180" i="34"/>
  <c r="A1180" i="34"/>
  <c r="U1025" i="34"/>
  <c r="Z1025" i="34"/>
  <c r="A1025" i="34"/>
  <c r="U957" i="34"/>
  <c r="Z957" i="34"/>
  <c r="A957" i="34"/>
  <c r="U832" i="34"/>
  <c r="Z832" i="34"/>
  <c r="A832" i="34"/>
  <c r="U737" i="34"/>
  <c r="Z737" i="34"/>
  <c r="A737" i="34"/>
  <c r="U672" i="34"/>
  <c r="Z672" i="34"/>
  <c r="A672" i="34"/>
  <c r="U500" i="34"/>
  <c r="Z500" i="34"/>
  <c r="A500" i="34"/>
  <c r="U442" i="34"/>
  <c r="Z442" i="34"/>
  <c r="A442" i="34"/>
  <c r="U400" i="34"/>
  <c r="Z400" i="34"/>
  <c r="A400" i="34"/>
  <c r="U324" i="34"/>
  <c r="Z324" i="34"/>
  <c r="A324" i="34"/>
  <c r="U923" i="34"/>
  <c r="Z923" i="34"/>
  <c r="A923" i="34"/>
  <c r="U922" i="34"/>
  <c r="Z922" i="34"/>
  <c r="A922" i="34"/>
  <c r="U904" i="34"/>
  <c r="Z904" i="34"/>
  <c r="A904" i="34"/>
  <c r="U902" i="34"/>
  <c r="Z902" i="34"/>
  <c r="A902" i="34"/>
  <c r="U905" i="34"/>
  <c r="Z905" i="34"/>
  <c r="A905" i="34"/>
  <c r="U448" i="34"/>
  <c r="Z448" i="34"/>
  <c r="A448" i="34"/>
  <c r="U112" i="34"/>
  <c r="Z112" i="34"/>
  <c r="A112" i="34"/>
  <c r="U116" i="34"/>
  <c r="Z116" i="34"/>
  <c r="A116" i="34"/>
  <c r="U129" i="34"/>
  <c r="Z129" i="34"/>
  <c r="A129" i="34"/>
  <c r="U120" i="34"/>
  <c r="Z120" i="34"/>
  <c r="A120" i="34"/>
  <c r="U143" i="34"/>
  <c r="Z143" i="34"/>
  <c r="A143" i="34"/>
  <c r="U136" i="34"/>
  <c r="Z136" i="34"/>
  <c r="A136" i="34"/>
  <c r="U157" i="34"/>
  <c r="Z157" i="34"/>
  <c r="A157" i="34"/>
  <c r="U152" i="34"/>
  <c r="Z152" i="34"/>
  <c r="A152" i="34"/>
  <c r="U150" i="34"/>
  <c r="Z150" i="34"/>
  <c r="A150" i="34"/>
  <c r="U201" i="34"/>
  <c r="Z201" i="34"/>
  <c r="A201" i="34"/>
  <c r="U213" i="34"/>
  <c r="Z213" i="34"/>
  <c r="A213" i="34"/>
  <c r="U540" i="34"/>
  <c r="Z540" i="34"/>
  <c r="A540" i="34"/>
  <c r="U654" i="34"/>
  <c r="Z654" i="34"/>
  <c r="A654" i="34"/>
  <c r="U937" i="34"/>
  <c r="Z937" i="34"/>
  <c r="A937" i="34"/>
  <c r="U1745" i="34"/>
  <c r="Z1745" i="34"/>
  <c r="A1745" i="34"/>
  <c r="U1684" i="34"/>
  <c r="Z1684" i="34"/>
  <c r="A1684" i="34"/>
  <c r="U1599" i="34"/>
  <c r="Z1599" i="34"/>
  <c r="A1599" i="34"/>
  <c r="U1526" i="34"/>
  <c r="Z1526" i="34"/>
  <c r="A1526" i="34"/>
  <c r="U1481" i="34"/>
  <c r="Z1481" i="34"/>
  <c r="A1481" i="34"/>
  <c r="U1357" i="34"/>
  <c r="Z1357" i="34"/>
  <c r="A1357" i="34"/>
  <c r="U1330" i="34"/>
  <c r="Z1330" i="34"/>
  <c r="A1330" i="34"/>
  <c r="U1291" i="34"/>
  <c r="Z1291" i="34"/>
  <c r="A1291" i="34"/>
  <c r="U1175" i="34"/>
  <c r="Z1175" i="34"/>
  <c r="A1175" i="34"/>
  <c r="U1019" i="34"/>
  <c r="Z1019" i="34"/>
  <c r="A1019" i="34"/>
  <c r="U936" i="34"/>
  <c r="Z936" i="34"/>
  <c r="A936" i="34"/>
  <c r="U806" i="34"/>
  <c r="Z806" i="34"/>
  <c r="A806" i="34"/>
  <c r="U707" i="34"/>
  <c r="Z707" i="34"/>
  <c r="A707" i="34"/>
  <c r="U661" i="34"/>
  <c r="Z661" i="34"/>
  <c r="A661" i="34"/>
  <c r="U542" i="34"/>
  <c r="Z542" i="34"/>
  <c r="A542" i="34"/>
  <c r="U437" i="34"/>
  <c r="Z437" i="34"/>
  <c r="A437" i="34"/>
  <c r="U396" i="34"/>
  <c r="Z396" i="34"/>
  <c r="A396" i="34"/>
  <c r="U321" i="34"/>
  <c r="Z321" i="34"/>
  <c r="A321" i="34"/>
  <c r="U910" i="34"/>
  <c r="Z910" i="34"/>
  <c r="A910" i="34"/>
  <c r="U917" i="34"/>
  <c r="Z917" i="34"/>
  <c r="A917" i="34"/>
  <c r="U908" i="34"/>
  <c r="Z908" i="34"/>
  <c r="A908" i="34"/>
  <c r="U901" i="34"/>
  <c r="Z901" i="34"/>
  <c r="A901" i="34"/>
  <c r="U914" i="34"/>
  <c r="Z914" i="34"/>
  <c r="A914" i="34"/>
  <c r="U927" i="34"/>
  <c r="Z927" i="34"/>
  <c r="A927" i="34"/>
  <c r="U921" i="34"/>
  <c r="Z921" i="34"/>
  <c r="A921" i="34"/>
  <c r="U918" i="34"/>
  <c r="Z918" i="34"/>
  <c r="A918" i="34"/>
  <c r="U924" i="34"/>
  <c r="Z924" i="34"/>
  <c r="A924" i="34"/>
  <c r="U909" i="34"/>
  <c r="Z909" i="34"/>
  <c r="A909" i="34"/>
  <c r="U925" i="34"/>
  <c r="Z925" i="34"/>
  <c r="A925" i="34"/>
  <c r="U455" i="34"/>
  <c r="Z455" i="34"/>
  <c r="A455" i="34"/>
  <c r="U444" i="34"/>
  <c r="Z444" i="34"/>
  <c r="A444" i="34"/>
  <c r="U452" i="34"/>
  <c r="Z452" i="34"/>
  <c r="A452" i="34"/>
  <c r="U451" i="34"/>
  <c r="Z451" i="34"/>
  <c r="A451" i="34"/>
  <c r="U447" i="34"/>
  <c r="Z447" i="34"/>
  <c r="A447" i="34"/>
  <c r="U106" i="34"/>
  <c r="Z106" i="34"/>
  <c r="A106" i="34"/>
  <c r="U108" i="34"/>
  <c r="Z108" i="34"/>
  <c r="A108" i="34"/>
  <c r="U110" i="34"/>
  <c r="Z110" i="34"/>
  <c r="A110" i="34"/>
  <c r="U113" i="34"/>
  <c r="Z113" i="34"/>
  <c r="A113" i="34"/>
  <c r="U127" i="34"/>
  <c r="Z127" i="34"/>
  <c r="A127" i="34"/>
  <c r="U126" i="34"/>
  <c r="Z126" i="34"/>
  <c r="A126" i="34"/>
  <c r="U122" i="34"/>
  <c r="Z122" i="34"/>
  <c r="A122" i="34"/>
  <c r="U124" i="34"/>
  <c r="Z124" i="34"/>
  <c r="A124" i="34"/>
  <c r="U137" i="34"/>
  <c r="Z137" i="34"/>
  <c r="A137" i="34"/>
  <c r="U139" i="34"/>
  <c r="Z139" i="34"/>
  <c r="A139" i="34"/>
  <c r="U135" i="34"/>
  <c r="Z135" i="34"/>
  <c r="A135" i="34"/>
  <c r="U154" i="34"/>
  <c r="Z154" i="34"/>
  <c r="A154" i="34"/>
  <c r="U148" i="34"/>
  <c r="Z148" i="34"/>
  <c r="A148" i="34"/>
  <c r="U184" i="34"/>
  <c r="Z184" i="34"/>
  <c r="A184" i="34"/>
  <c r="U212" i="34"/>
  <c r="Z212" i="34"/>
  <c r="A212" i="34"/>
  <c r="U541" i="34"/>
  <c r="Z541" i="34"/>
  <c r="A541" i="34"/>
  <c r="U689" i="34"/>
  <c r="Z689" i="34"/>
  <c r="A689" i="34"/>
  <c r="U939" i="34"/>
  <c r="Z939" i="34"/>
  <c r="A939" i="34"/>
  <c r="U1739" i="34"/>
  <c r="Z1739" i="34"/>
  <c r="A1739" i="34"/>
  <c r="U1664" i="34"/>
  <c r="Z1664" i="34"/>
  <c r="A1664" i="34"/>
  <c r="U1595" i="34"/>
  <c r="Z1595" i="34"/>
  <c r="A1595" i="34"/>
  <c r="U1513" i="34"/>
  <c r="Z1513" i="34"/>
  <c r="A1513" i="34"/>
  <c r="U1451" i="34"/>
  <c r="Z1451" i="34"/>
  <c r="A1451" i="34"/>
  <c r="U1346" i="34"/>
  <c r="Z1346" i="34"/>
  <c r="A1346" i="34"/>
  <c r="U1307" i="34"/>
  <c r="Z1307" i="34"/>
  <c r="A1307" i="34"/>
  <c r="U1231" i="34"/>
  <c r="Z1231" i="34"/>
  <c r="A1231" i="34"/>
  <c r="U1172" i="34"/>
  <c r="Z1172" i="34"/>
  <c r="A1172" i="34"/>
  <c r="U966" i="34"/>
  <c r="Z966" i="34"/>
  <c r="A966" i="34"/>
  <c r="U835" i="34"/>
  <c r="Z835" i="34"/>
  <c r="A835" i="34"/>
  <c r="U784" i="34"/>
  <c r="Z784" i="34"/>
  <c r="A784" i="34"/>
  <c r="U688" i="34"/>
  <c r="Z688" i="34"/>
  <c r="A688" i="34"/>
  <c r="U585" i="34"/>
  <c r="Z585" i="34"/>
  <c r="A585" i="34"/>
  <c r="U493" i="34"/>
  <c r="Z493" i="34"/>
  <c r="A493" i="34"/>
  <c r="U431" i="34"/>
  <c r="Z431" i="34"/>
  <c r="A431" i="34"/>
  <c r="U349" i="34"/>
  <c r="Z349" i="34"/>
  <c r="A349" i="34"/>
  <c r="U931" i="34"/>
  <c r="Z931" i="34"/>
  <c r="A931" i="34"/>
  <c r="U906" i="34"/>
  <c r="Z906" i="34"/>
  <c r="A906" i="34"/>
  <c r="U928" i="34"/>
  <c r="Z928" i="34"/>
  <c r="A928" i="34"/>
  <c r="U912" i="34"/>
  <c r="Z912" i="34"/>
  <c r="A912" i="34"/>
  <c r="U920" i="34"/>
  <c r="Z920" i="34"/>
  <c r="A920" i="34"/>
  <c r="U456" i="34"/>
  <c r="Z456" i="34"/>
  <c r="A456" i="34"/>
  <c r="U449" i="34"/>
  <c r="Z449" i="34"/>
  <c r="A449" i="34"/>
  <c r="U114" i="34"/>
  <c r="Z114" i="34"/>
  <c r="A114" i="34"/>
  <c r="U128" i="34"/>
  <c r="Z128" i="34"/>
  <c r="A128" i="34"/>
  <c r="U119" i="34"/>
  <c r="Z119" i="34"/>
  <c r="A119" i="34"/>
  <c r="U142" i="34"/>
  <c r="Z142" i="34"/>
  <c r="A142" i="34"/>
  <c r="U140" i="34"/>
  <c r="Z140" i="34"/>
  <c r="A140" i="34"/>
  <c r="U158" i="34"/>
  <c r="Z158" i="34"/>
  <c r="A158" i="34"/>
  <c r="U153" i="34"/>
  <c r="Z153" i="34"/>
  <c r="A153" i="34"/>
  <c r="U151" i="34"/>
  <c r="Z151" i="34"/>
  <c r="A151" i="34"/>
  <c r="U203" i="34"/>
  <c r="Z203" i="34"/>
  <c r="A203" i="34"/>
  <c r="U467" i="34"/>
  <c r="Z467" i="34"/>
  <c r="A467" i="34"/>
  <c r="U539" i="34"/>
  <c r="Z539" i="34"/>
  <c r="A539" i="34"/>
  <c r="U596" i="34"/>
  <c r="Z596" i="34"/>
  <c r="A596" i="34"/>
  <c r="U690" i="34"/>
  <c r="Z690" i="34"/>
  <c r="A690" i="34"/>
  <c r="U940" i="34"/>
  <c r="Z940" i="34"/>
  <c r="A940" i="34"/>
  <c r="U1755" i="34"/>
  <c r="Z1755" i="34"/>
  <c r="A1755" i="34"/>
  <c r="U1725" i="34"/>
  <c r="Z1725" i="34"/>
  <c r="A1725" i="34"/>
  <c r="U1656" i="34"/>
  <c r="Z1656" i="34"/>
  <c r="A1656" i="34"/>
  <c r="U1585" i="34"/>
  <c r="Z1585" i="34"/>
  <c r="A1585" i="34"/>
  <c r="U1506" i="34"/>
  <c r="Z1506" i="34"/>
  <c r="A1506" i="34"/>
  <c r="U1403" i="34"/>
  <c r="Z1403" i="34"/>
  <c r="A1403" i="34"/>
  <c r="U1337" i="34"/>
  <c r="Z1337" i="34"/>
  <c r="A1337" i="34"/>
  <c r="U1294" i="34"/>
  <c r="Z1294" i="34"/>
  <c r="A1294" i="34"/>
  <c r="U1224" i="34"/>
  <c r="Z1224" i="34"/>
  <c r="A1224" i="34"/>
  <c r="U1060" i="34"/>
  <c r="Z1060" i="34"/>
  <c r="A1060" i="34"/>
  <c r="U960" i="34"/>
  <c r="Z960" i="34"/>
  <c r="A960" i="34"/>
  <c r="U769" i="34"/>
  <c r="Z769" i="34"/>
  <c r="A769" i="34"/>
  <c r="U685" i="34"/>
  <c r="Z685" i="34"/>
  <c r="A685" i="34"/>
  <c r="U557" i="34"/>
  <c r="Z557" i="34"/>
  <c r="A557" i="34"/>
  <c r="U479" i="34"/>
  <c r="Z479" i="34"/>
  <c r="A479" i="34"/>
  <c r="U419" i="34"/>
  <c r="Z419" i="34"/>
  <c r="A419" i="34"/>
  <c r="U329" i="34"/>
  <c r="Z329" i="34"/>
  <c r="A329" i="34"/>
  <c r="K456" i="34"/>
  <c r="I3314" i="34"/>
  <c r="K301" i="34"/>
  <c r="C301" i="34"/>
  <c r="B301" i="34" s="1"/>
  <c r="K294" i="34"/>
  <c r="C294" i="34"/>
  <c r="B294" i="34" s="1"/>
  <c r="K288" i="34"/>
  <c r="C288" i="34"/>
  <c r="B288" i="34" s="1"/>
  <c r="K283" i="34"/>
  <c r="C283" i="34"/>
  <c r="B283" i="34" s="1"/>
  <c r="K299" i="34"/>
  <c r="C299" i="34"/>
  <c r="B299" i="34" s="1"/>
  <c r="K300" i="34"/>
  <c r="C300" i="34"/>
  <c r="B300" i="34" s="1"/>
  <c r="K293" i="34"/>
  <c r="C293" i="34"/>
  <c r="B293" i="34" s="1"/>
  <c r="K296" i="34"/>
  <c r="C296" i="34"/>
  <c r="B296" i="34" s="1"/>
  <c r="K289" i="34"/>
  <c r="C289" i="34"/>
  <c r="B289" i="34" s="1"/>
  <c r="K292" i="34"/>
  <c r="C292" i="34"/>
  <c r="B292" i="34" s="1"/>
  <c r="K298" i="34"/>
  <c r="C298" i="34"/>
  <c r="B298" i="34" s="1"/>
  <c r="K302" i="34"/>
  <c r="C302" i="34"/>
  <c r="B302" i="34" s="1"/>
  <c r="K297" i="34"/>
  <c r="C297" i="34"/>
  <c r="B297" i="34" s="1"/>
  <c r="K291" i="34"/>
  <c r="C291" i="34"/>
  <c r="B291" i="34" s="1"/>
  <c r="K290" i="34"/>
  <c r="C290" i="34"/>
  <c r="B290" i="34" s="1"/>
  <c r="K287" i="34"/>
  <c r="C287" i="34"/>
  <c r="B287" i="34" s="1"/>
  <c r="K285" i="34"/>
  <c r="C285" i="34"/>
  <c r="B285" i="34" s="1"/>
  <c r="K284" i="34"/>
  <c r="C284" i="34"/>
  <c r="B284" i="34" s="1"/>
  <c r="K295" i="34"/>
  <c r="C295" i="34"/>
  <c r="B295" i="34" s="1"/>
  <c r="K282" i="34"/>
  <c r="C282" i="34"/>
  <c r="B282" i="34" s="1"/>
  <c r="K286" i="34"/>
  <c r="C286" i="34"/>
  <c r="B286" i="34" s="1"/>
  <c r="K280" i="34"/>
  <c r="C280" i="34"/>
  <c r="B280" i="34" s="1"/>
  <c r="C303" i="34"/>
  <c r="B303" i="34" s="1"/>
  <c r="K281" i="34"/>
  <c r="C281" i="34"/>
  <c r="B281" i="34" s="1"/>
  <c r="K236" i="34"/>
  <c r="C236" i="34"/>
  <c r="B236" i="34" s="1"/>
  <c r="K235" i="34"/>
  <c r="C235" i="34"/>
  <c r="B235" i="34" s="1"/>
  <c r="K234" i="34"/>
  <c r="C234" i="34"/>
  <c r="B234" i="34" s="1"/>
  <c r="K233" i="34"/>
  <c r="C233" i="34"/>
  <c r="B233" i="34" s="1"/>
  <c r="K240" i="34"/>
  <c r="C240" i="34"/>
  <c r="B240" i="34" s="1"/>
  <c r="K239" i="34"/>
  <c r="C239" i="34"/>
  <c r="B239" i="34" s="1"/>
  <c r="K238" i="34"/>
  <c r="C238" i="34"/>
  <c r="B238" i="34" s="1"/>
  <c r="K237" i="34"/>
  <c r="C237" i="34"/>
  <c r="B237" i="34" s="1"/>
  <c r="K242" i="34"/>
  <c r="C242" i="34"/>
  <c r="B242" i="34" s="1"/>
  <c r="K241" i="34"/>
  <c r="C241" i="34"/>
  <c r="B241" i="34" s="1"/>
  <c r="K244" i="34"/>
  <c r="C244" i="34"/>
  <c r="B244" i="34" s="1"/>
  <c r="K232" i="34"/>
  <c r="C232" i="34"/>
  <c r="B232" i="34" s="1"/>
  <c r="K224" i="34"/>
  <c r="C224" i="34"/>
  <c r="B224" i="34" s="1"/>
  <c r="K223" i="34"/>
  <c r="C223" i="34"/>
  <c r="B223" i="34" s="1"/>
  <c r="K222" i="34"/>
  <c r="C222" i="34"/>
  <c r="B222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K217" i="34"/>
  <c r="C217" i="34"/>
  <c r="B217" i="34" s="1"/>
  <c r="K228" i="34"/>
  <c r="C228" i="34"/>
  <c r="B228" i="34" s="1"/>
  <c r="K227" i="34"/>
  <c r="C227" i="34"/>
  <c r="B227" i="34" s="1"/>
  <c r="K226" i="34"/>
  <c r="C226" i="34"/>
  <c r="B226" i="34" s="1"/>
  <c r="K225" i="34"/>
  <c r="C225" i="34"/>
  <c r="B225" i="34" s="1"/>
  <c r="K243" i="34"/>
  <c r="C243" i="34"/>
  <c r="B243" i="34" s="1"/>
  <c r="K231" i="34"/>
  <c r="C231" i="34"/>
  <c r="B231" i="34" s="1"/>
  <c r="K230" i="34"/>
  <c r="C230" i="34"/>
  <c r="B230" i="34" s="1"/>
  <c r="C245" i="34"/>
  <c r="B245" i="34" s="1"/>
  <c r="K229" i="34"/>
  <c r="C229" i="34"/>
  <c r="B229" i="34" s="1"/>
  <c r="K33" i="34"/>
  <c r="C33" i="34"/>
  <c r="B33" i="34" s="1"/>
  <c r="K32" i="34"/>
  <c r="C32" i="34"/>
  <c r="B32" i="34" s="1"/>
  <c r="K31" i="34"/>
  <c r="C31" i="34"/>
  <c r="B31" i="34" s="1"/>
  <c r="K30" i="34"/>
  <c r="C30" i="34"/>
  <c r="B30" i="34" s="1"/>
  <c r="C34" i="34"/>
  <c r="B34" i="34" s="1"/>
  <c r="K29" i="34"/>
  <c r="C29" i="34"/>
  <c r="B29" i="34" s="1"/>
  <c r="U30" i="34" l="1"/>
  <c r="Z30" i="34"/>
  <c r="A30" i="34"/>
  <c r="U280" i="34"/>
  <c r="Z280" i="34"/>
  <c r="A280" i="34"/>
  <c r="U284" i="34"/>
  <c r="Z284" i="34"/>
  <c r="A284" i="34"/>
  <c r="U291" i="34"/>
  <c r="Z291" i="34"/>
  <c r="A291" i="34"/>
  <c r="U302" i="34"/>
  <c r="Z302" i="34"/>
  <c r="A302" i="34"/>
  <c r="U292" i="34"/>
  <c r="Z292" i="34"/>
  <c r="A292" i="34"/>
  <c r="U296" i="34"/>
  <c r="Z296" i="34"/>
  <c r="A296" i="34"/>
  <c r="U300" i="34"/>
  <c r="Z300" i="34"/>
  <c r="A300" i="34"/>
  <c r="U283" i="34"/>
  <c r="Z283" i="34"/>
  <c r="A283" i="34"/>
  <c r="U294" i="34"/>
  <c r="Z294" i="34"/>
  <c r="A294" i="34"/>
  <c r="U29" i="34"/>
  <c r="Z29" i="34"/>
  <c r="A29" i="34"/>
  <c r="U231" i="34"/>
  <c r="Z231" i="34"/>
  <c r="A231" i="34"/>
  <c r="U225" i="34"/>
  <c r="Z225" i="34"/>
  <c r="A225" i="34"/>
  <c r="U227" i="34"/>
  <c r="Z227" i="34"/>
  <c r="A227" i="34"/>
  <c r="U217" i="34"/>
  <c r="Z217" i="34"/>
  <c r="A217" i="34"/>
  <c r="U219" i="34"/>
  <c r="Z219" i="34"/>
  <c r="A219" i="34"/>
  <c r="U221" i="34"/>
  <c r="Z221" i="34"/>
  <c r="A221" i="34"/>
  <c r="U223" i="34"/>
  <c r="Z223" i="34"/>
  <c r="A223" i="34"/>
  <c r="U232" i="34"/>
  <c r="Z232" i="34"/>
  <c r="A232" i="34"/>
  <c r="U241" i="34"/>
  <c r="Z241" i="34"/>
  <c r="A241" i="34"/>
  <c r="U237" i="34"/>
  <c r="Z237" i="34"/>
  <c r="A237" i="34"/>
  <c r="U239" i="34"/>
  <c r="Z239" i="34"/>
  <c r="A239" i="34"/>
  <c r="U233" i="34"/>
  <c r="Z233" i="34"/>
  <c r="A233" i="34"/>
  <c r="U235" i="34"/>
  <c r="Z235" i="34"/>
  <c r="A235" i="34"/>
  <c r="U281" i="34"/>
  <c r="Z281" i="34"/>
  <c r="A281" i="34"/>
  <c r="U229" i="34"/>
  <c r="Z229" i="34"/>
  <c r="A229" i="34"/>
  <c r="U282" i="34"/>
  <c r="Z282" i="34"/>
  <c r="A282" i="34"/>
  <c r="U31" i="34"/>
  <c r="Z31" i="34"/>
  <c r="A31" i="34"/>
  <c r="U245" i="34"/>
  <c r="Z245" i="34"/>
  <c r="A245" i="34"/>
  <c r="U286" i="34"/>
  <c r="Z286" i="34"/>
  <c r="A286" i="34"/>
  <c r="U285" i="34"/>
  <c r="Z285" i="34"/>
  <c r="A285" i="34"/>
  <c r="U297" i="34"/>
  <c r="Z297" i="34"/>
  <c r="A297" i="34"/>
  <c r="U293" i="34"/>
  <c r="Z293" i="34"/>
  <c r="A293" i="34"/>
  <c r="U288" i="34"/>
  <c r="Z288" i="34"/>
  <c r="A288" i="34"/>
  <c r="U32" i="34"/>
  <c r="Z32" i="34"/>
  <c r="A32" i="34"/>
  <c r="U287" i="34"/>
  <c r="Z287" i="34"/>
  <c r="A287" i="34"/>
  <c r="U33" i="34"/>
  <c r="Z33" i="34"/>
  <c r="A33" i="34"/>
  <c r="U295" i="34"/>
  <c r="Z295" i="34"/>
  <c r="A295" i="34"/>
  <c r="U290" i="34"/>
  <c r="Z290" i="34"/>
  <c r="A290" i="34"/>
  <c r="U298" i="34"/>
  <c r="Z298" i="34"/>
  <c r="A298" i="34"/>
  <c r="U289" i="34"/>
  <c r="Z289" i="34"/>
  <c r="A289" i="34"/>
  <c r="U299" i="34"/>
  <c r="Z299" i="34"/>
  <c r="A299" i="34"/>
  <c r="U301" i="34"/>
  <c r="Z301" i="34"/>
  <c r="A301" i="34"/>
  <c r="U34" i="34"/>
  <c r="Z34" i="34"/>
  <c r="A34" i="34"/>
  <c r="U230" i="34"/>
  <c r="Z230" i="34"/>
  <c r="A230" i="34"/>
  <c r="U243" i="34"/>
  <c r="Z243" i="34"/>
  <c r="A243" i="34"/>
  <c r="U226" i="34"/>
  <c r="Z226" i="34"/>
  <c r="A226" i="34"/>
  <c r="U228" i="34"/>
  <c r="Z228" i="34"/>
  <c r="A228" i="34"/>
  <c r="U218" i="34"/>
  <c r="Z218" i="34"/>
  <c r="A218" i="34"/>
  <c r="U220" i="34"/>
  <c r="Z220" i="34"/>
  <c r="A220" i="34"/>
  <c r="U222" i="34"/>
  <c r="Z222" i="34"/>
  <c r="A222" i="34"/>
  <c r="U224" i="34"/>
  <c r="Z224" i="34"/>
  <c r="A224" i="34"/>
  <c r="U244" i="34"/>
  <c r="Z244" i="34"/>
  <c r="A244" i="34"/>
  <c r="U242" i="34"/>
  <c r="Z242" i="34"/>
  <c r="A242" i="34"/>
  <c r="U238" i="34"/>
  <c r="Z238" i="34"/>
  <c r="A238" i="34"/>
  <c r="U240" i="34"/>
  <c r="Z240" i="34"/>
  <c r="A240" i="34"/>
  <c r="U234" i="34"/>
  <c r="Z234" i="34"/>
  <c r="A234" i="34"/>
  <c r="U236" i="34"/>
  <c r="Z236" i="34"/>
  <c r="A236" i="34"/>
  <c r="U303" i="34"/>
  <c r="Z303" i="34"/>
  <c r="A303" i="34"/>
  <c r="B207" i="34"/>
  <c r="B192" i="34"/>
  <c r="U192" i="34" l="1"/>
  <c r="Z192" i="34"/>
  <c r="T192" i="34"/>
  <c r="R192" i="34"/>
  <c r="S192" i="34"/>
  <c r="A192" i="34"/>
  <c r="U207" i="34"/>
  <c r="Z207" i="34"/>
  <c r="S207" i="34"/>
  <c r="T207" i="34"/>
  <c r="R207" i="34"/>
  <c r="A207" i="34"/>
  <c r="B53" i="34"/>
  <c r="U53" i="34" l="1"/>
  <c r="Z53" i="34"/>
  <c r="T53" i="34"/>
  <c r="R53" i="34"/>
  <c r="S53" i="34"/>
  <c r="A53" i="34"/>
  <c r="C1690" i="34"/>
  <c r="B1690" i="34" s="1"/>
  <c r="C1691" i="34"/>
  <c r="B1691" i="34" s="1"/>
  <c r="C1689" i="34"/>
  <c r="B1689" i="34" s="1"/>
  <c r="C1205" i="34"/>
  <c r="B1205" i="34" s="1"/>
  <c r="C1204" i="34"/>
  <c r="B1204" i="34" s="1"/>
  <c r="C1108" i="34"/>
  <c r="B1108" i="34" s="1"/>
  <c r="C1107" i="34"/>
  <c r="B1107" i="34" s="1"/>
  <c r="C971" i="34"/>
  <c r="B971" i="34" s="1"/>
  <c r="C970" i="34"/>
  <c r="B970" i="34" s="1"/>
  <c r="C663" i="34"/>
  <c r="B663" i="34" s="1"/>
  <c r="C662" i="34"/>
  <c r="B662" i="34" s="1"/>
  <c r="K532" i="34"/>
  <c r="K531" i="34"/>
  <c r="C532" i="34"/>
  <c r="B532" i="34" s="1"/>
  <c r="C531" i="34"/>
  <c r="B531" i="34" s="1"/>
  <c r="K473" i="34"/>
  <c r="K472" i="34"/>
  <c r="B473" i="34"/>
  <c r="B472" i="34"/>
  <c r="U531" i="34" l="1"/>
  <c r="Z531" i="34"/>
  <c r="A531" i="34"/>
  <c r="U662" i="34"/>
  <c r="Z662" i="34"/>
  <c r="A662" i="34"/>
  <c r="U1107" i="34"/>
  <c r="Z1107" i="34"/>
  <c r="A1107" i="34"/>
  <c r="U1689" i="34"/>
  <c r="Z1689" i="34"/>
  <c r="A1689" i="34"/>
  <c r="U472" i="34"/>
  <c r="Z472" i="34"/>
  <c r="A472" i="34"/>
  <c r="U663" i="34"/>
  <c r="Z663" i="34"/>
  <c r="A663" i="34"/>
  <c r="U1108" i="34"/>
  <c r="Z1108" i="34"/>
  <c r="A1108" i="34"/>
  <c r="U1691" i="34"/>
  <c r="Z1691" i="34"/>
  <c r="A1691" i="34"/>
  <c r="U532" i="34"/>
  <c r="Z532" i="34"/>
  <c r="A532" i="34"/>
  <c r="U970" i="34"/>
  <c r="Z970" i="34"/>
  <c r="A970" i="34"/>
  <c r="U1204" i="34"/>
  <c r="Z1204" i="34"/>
  <c r="A1204" i="34"/>
  <c r="U1690" i="34"/>
  <c r="Z1690" i="34"/>
  <c r="A1690" i="34"/>
  <c r="U473" i="34"/>
  <c r="Z473" i="34"/>
  <c r="A473" i="34"/>
  <c r="U971" i="34"/>
  <c r="Z971" i="34"/>
  <c r="A971" i="34"/>
  <c r="U1205" i="34"/>
  <c r="Z1205" i="34"/>
  <c r="A1205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J16" i="64"/>
  <c r="J15" i="64"/>
  <c r="J14" i="64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T7" i="60"/>
  <c r="C7" i="60" s="1"/>
  <c r="Y7" i="60"/>
  <c r="T8" i="60"/>
  <c r="C8" i="60" s="1"/>
  <c r="Y8" i="60"/>
  <c r="T9" i="60"/>
  <c r="C9" i="60" s="1"/>
  <c r="Y9" i="60"/>
  <c r="T10" i="60"/>
  <c r="C10" i="60" s="1"/>
  <c r="Y10" i="60"/>
  <c r="T11" i="60"/>
  <c r="C11" i="60" s="1"/>
  <c r="Y11" i="60"/>
  <c r="T186" i="60"/>
  <c r="C186" i="60" s="1"/>
  <c r="Y186" i="60"/>
  <c r="T187" i="60"/>
  <c r="C187" i="60" s="1"/>
  <c r="Y187" i="60"/>
  <c r="T188" i="60"/>
  <c r="C188" i="60" s="1"/>
  <c r="Y188" i="60"/>
  <c r="T189" i="60"/>
  <c r="C189" i="60" s="1"/>
  <c r="Y189" i="60"/>
  <c r="T190" i="60"/>
  <c r="C190" i="60" s="1"/>
  <c r="Y190" i="60"/>
  <c r="C1791" i="34" l="1"/>
  <c r="C1790" i="34"/>
  <c r="C1788" i="34"/>
  <c r="C1787" i="34"/>
  <c r="C1786" i="34"/>
  <c r="C1758" i="34"/>
  <c r="C1757" i="34"/>
  <c r="C1756" i="34"/>
  <c r="C1754" i="34"/>
  <c r="C1753" i="34"/>
  <c r="C1751" i="34"/>
  <c r="C1750" i="34"/>
  <c r="C1749" i="34"/>
  <c r="C1748" i="34"/>
  <c r="C1747" i="34"/>
  <c r="C1746" i="34"/>
  <c r="C1744" i="34"/>
  <c r="C1743" i="34"/>
  <c r="C1742" i="34"/>
  <c r="C1741" i="34"/>
  <c r="C1740" i="34"/>
  <c r="C1738" i="34"/>
  <c r="C1737" i="34"/>
  <c r="C1724" i="34"/>
  <c r="C1723" i="34"/>
  <c r="C1722" i="34"/>
  <c r="C1721" i="34"/>
  <c r="C1706" i="34"/>
  <c r="C1705" i="34"/>
  <c r="C1696" i="34"/>
  <c r="C1695" i="34"/>
  <c r="C1694" i="34"/>
  <c r="C1693" i="34"/>
  <c r="C1692" i="34"/>
  <c r="C1686" i="34"/>
  <c r="C1685" i="34"/>
  <c r="C1683" i="34"/>
  <c r="C1682" i="34"/>
  <c r="C1681" i="34"/>
  <c r="C1680" i="34"/>
  <c r="C1679" i="34"/>
  <c r="C1678" i="34"/>
  <c r="C1677" i="34"/>
  <c r="C1663" i="34"/>
  <c r="C1662" i="34"/>
  <c r="C1661" i="34"/>
  <c r="C1660" i="34"/>
  <c r="C1659" i="34"/>
  <c r="C1658" i="34"/>
  <c r="C1657" i="34"/>
  <c r="C1655" i="34"/>
  <c r="C1654" i="34"/>
  <c r="C1653" i="34"/>
  <c r="C1639" i="34"/>
  <c r="C1638" i="34"/>
  <c r="C1637" i="34"/>
  <c r="C1636" i="34"/>
  <c r="C1635" i="34"/>
  <c r="C1622" i="34"/>
  <c r="C1621" i="34"/>
  <c r="C1620" i="34"/>
  <c r="C1619" i="34"/>
  <c r="C1618" i="34"/>
  <c r="C1617" i="34"/>
  <c r="C1616" i="34"/>
  <c r="C1603" i="34"/>
  <c r="C1602" i="34"/>
  <c r="C1601" i="34"/>
  <c r="C1600" i="34"/>
  <c r="C1598" i="34"/>
  <c r="C1597" i="34"/>
  <c r="C1596" i="34"/>
  <c r="C1594" i="34"/>
  <c r="C1593" i="34"/>
  <c r="C1592" i="34"/>
  <c r="C1584" i="34"/>
  <c r="C1583" i="34"/>
  <c r="C1576" i="34"/>
  <c r="C1575" i="34"/>
  <c r="C1574" i="34"/>
  <c r="C1573" i="34"/>
  <c r="C1572" i="34"/>
  <c r="C1571" i="34"/>
  <c r="C1570" i="34"/>
  <c r="C1569" i="34"/>
  <c r="C1567" i="34"/>
  <c r="C1566" i="34"/>
  <c r="C1565" i="34"/>
  <c r="C1550" i="34"/>
  <c r="K1549" i="34"/>
  <c r="C1549" i="34"/>
  <c r="C1525" i="34"/>
  <c r="K1524" i="34"/>
  <c r="C1524" i="34"/>
  <c r="K1523" i="34"/>
  <c r="C1523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C1505" i="34"/>
  <c r="K1504" i="34"/>
  <c r="C1504" i="34"/>
  <c r="K1503" i="34"/>
  <c r="C1503" i="34"/>
  <c r="C1501" i="34"/>
  <c r="K1500" i="34"/>
  <c r="C1500" i="34"/>
  <c r="K1499" i="34"/>
  <c r="C1499" i="34"/>
  <c r="K1498" i="34"/>
  <c r="C1498" i="34"/>
  <c r="C1497" i="34"/>
  <c r="K1496" i="34"/>
  <c r="C1496" i="34"/>
  <c r="K1495" i="34"/>
  <c r="C1495" i="34"/>
  <c r="C1480" i="34"/>
  <c r="K1479" i="34"/>
  <c r="C1479" i="34"/>
  <c r="C1471" i="34"/>
  <c r="K1470" i="34"/>
  <c r="C1470" i="34"/>
  <c r="C1450" i="34"/>
  <c r="K1449" i="34"/>
  <c r="C1449" i="34"/>
  <c r="K1448" i="34"/>
  <c r="C1448" i="34"/>
  <c r="C1447" i="34"/>
  <c r="K1446" i="34"/>
  <c r="C1446" i="34"/>
  <c r="C1408" i="34"/>
  <c r="K1407" i="34"/>
  <c r="C1407" i="34"/>
  <c r="K1406" i="34"/>
  <c r="C1406" i="34"/>
  <c r="K1405" i="34"/>
  <c r="C1405" i="34"/>
  <c r="K1404" i="34"/>
  <c r="C1404" i="34"/>
  <c r="C1402" i="34"/>
  <c r="K1401" i="34"/>
  <c r="C1401" i="34"/>
  <c r="K1400" i="34"/>
  <c r="C1400" i="34"/>
  <c r="C1394" i="34"/>
  <c r="K1393" i="34"/>
  <c r="C1393" i="34"/>
  <c r="C1364" i="34"/>
  <c r="K1363" i="34"/>
  <c r="C1363" i="34"/>
  <c r="C1361" i="34"/>
  <c r="K1360" i="34"/>
  <c r="C1360" i="34"/>
  <c r="K1359" i="34"/>
  <c r="C1359" i="34"/>
  <c r="C1356" i="34"/>
  <c r="K1355" i="34"/>
  <c r="C1355" i="34"/>
  <c r="C1350" i="34"/>
  <c r="K1349" i="34"/>
  <c r="C1349" i="34"/>
  <c r="K1348" i="34"/>
  <c r="C1348" i="34"/>
  <c r="K1347" i="34"/>
  <c r="C1347" i="34"/>
  <c r="C1345" i="34"/>
  <c r="K1344" i="34"/>
  <c r="C1344" i="34"/>
  <c r="C1336" i="34"/>
  <c r="K1335" i="34"/>
  <c r="C1335" i="34"/>
  <c r="C1333" i="34"/>
  <c r="K1332" i="34"/>
  <c r="C1332" i="34"/>
  <c r="K1331" i="34"/>
  <c r="C1331" i="34"/>
  <c r="C1329" i="34"/>
  <c r="K1328" i="34"/>
  <c r="C1328" i="34"/>
  <c r="C1316" i="34"/>
  <c r="C1306" i="34"/>
  <c r="K1305" i="34"/>
  <c r="C1305" i="34"/>
  <c r="C1297" i="34"/>
  <c r="K1296" i="34"/>
  <c r="C1296" i="34"/>
  <c r="K1293" i="34"/>
  <c r="C1293" i="34"/>
  <c r="K1292" i="34"/>
  <c r="C1292" i="34"/>
  <c r="C1290" i="34"/>
  <c r="K1289" i="34"/>
  <c r="C1289" i="34"/>
  <c r="K1288" i="34"/>
  <c r="C1288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C1230" i="34"/>
  <c r="K1229" i="34"/>
  <c r="C1229" i="34"/>
  <c r="K1228" i="34"/>
  <c r="C1228" i="34"/>
  <c r="C1227" i="34"/>
  <c r="K1226" i="34"/>
  <c r="C1226" i="34"/>
  <c r="K1225" i="34"/>
  <c r="C1225" i="34"/>
  <c r="C1223" i="34"/>
  <c r="K1222" i="34"/>
  <c r="C1222" i="34"/>
  <c r="C1186" i="34"/>
  <c r="K1185" i="34"/>
  <c r="C1185" i="34"/>
  <c r="C1184" i="34"/>
  <c r="K1183" i="34"/>
  <c r="C1183" i="34"/>
  <c r="K1182" i="34"/>
  <c r="C1182" i="34"/>
  <c r="K1181" i="34"/>
  <c r="C1181" i="34"/>
  <c r="C1179" i="34"/>
  <c r="K1178" i="34"/>
  <c r="C1178" i="34"/>
  <c r="K1177" i="34"/>
  <c r="C1177" i="34"/>
  <c r="K1176" i="34"/>
  <c r="C1176" i="34"/>
  <c r="C1174" i="34"/>
  <c r="K1173" i="34"/>
  <c r="C1173" i="34"/>
  <c r="C1171" i="34"/>
  <c r="K1170" i="34"/>
  <c r="C1170" i="34"/>
  <c r="C1164" i="34"/>
  <c r="K1163" i="34"/>
  <c r="C1163" i="34"/>
  <c r="C1155" i="34"/>
  <c r="K1154" i="34"/>
  <c r="C1154" i="34"/>
  <c r="C1140" i="34"/>
  <c r="C1101" i="34"/>
  <c r="C1089" i="34"/>
  <c r="K1088" i="34"/>
  <c r="C1088" i="34"/>
  <c r="K1087" i="34"/>
  <c r="C1087" i="34"/>
  <c r="C1085" i="34"/>
  <c r="K1084" i="34"/>
  <c r="C1084" i="34"/>
  <c r="C1059" i="34"/>
  <c r="K1058" i="34"/>
  <c r="C1058" i="34"/>
  <c r="C1024" i="34"/>
  <c r="K1023" i="34"/>
  <c r="C1023" i="34"/>
  <c r="C1022" i="34"/>
  <c r="K1021" i="34"/>
  <c r="C1021" i="34"/>
  <c r="C1018" i="34"/>
  <c r="K1017" i="34"/>
  <c r="C1017" i="34"/>
  <c r="K1016" i="34"/>
  <c r="C1016" i="34"/>
  <c r="K1015" i="34"/>
  <c r="C1015" i="34"/>
  <c r="C1000" i="34"/>
  <c r="K999" i="34"/>
  <c r="C999" i="34"/>
  <c r="C965" i="34"/>
  <c r="K964" i="34"/>
  <c r="C964" i="34"/>
  <c r="K963" i="34"/>
  <c r="C963" i="34"/>
  <c r="C962" i="34"/>
  <c r="K961" i="34"/>
  <c r="C961" i="34"/>
  <c r="C959" i="34"/>
  <c r="K958" i="34"/>
  <c r="C958" i="34"/>
  <c r="C956" i="34"/>
  <c r="K955" i="34"/>
  <c r="C955" i="34"/>
  <c r="C935" i="34"/>
  <c r="K934" i="34"/>
  <c r="C934" i="34"/>
  <c r="C933" i="34"/>
  <c r="C900" i="34"/>
  <c r="K899" i="34"/>
  <c r="C899" i="34"/>
  <c r="K898" i="34"/>
  <c r="C898" i="34"/>
  <c r="C871" i="34"/>
  <c r="K870" i="34"/>
  <c r="C870" i="34"/>
  <c r="C867" i="34"/>
  <c r="K866" i="34"/>
  <c r="C866" i="34"/>
  <c r="C859" i="34"/>
  <c r="K858" i="34"/>
  <c r="C858" i="34"/>
  <c r="C857" i="34"/>
  <c r="C842" i="34"/>
  <c r="K841" i="34"/>
  <c r="C841" i="34"/>
  <c r="K840" i="34"/>
  <c r="C840" i="34"/>
  <c r="C839" i="34"/>
  <c r="K838" i="34"/>
  <c r="C838" i="34"/>
  <c r="K837" i="34"/>
  <c r="C837" i="34"/>
  <c r="K836" i="34"/>
  <c r="C836" i="34"/>
  <c r="C834" i="34"/>
  <c r="K833" i="34"/>
  <c r="C833" i="34"/>
  <c r="C831" i="34"/>
  <c r="K830" i="34"/>
  <c r="C830" i="34"/>
  <c r="K829" i="34"/>
  <c r="C829" i="34"/>
  <c r="C811" i="34"/>
  <c r="K810" i="34"/>
  <c r="C810" i="34"/>
  <c r="K809" i="34"/>
  <c r="C809" i="34"/>
  <c r="K808" i="34"/>
  <c r="C808" i="34"/>
  <c r="C805" i="34"/>
  <c r="K804" i="34"/>
  <c r="C804" i="34"/>
  <c r="K803" i="34"/>
  <c r="C803" i="34"/>
  <c r="K802" i="34"/>
  <c r="C802" i="34"/>
  <c r="C783" i="34"/>
  <c r="K782" i="34"/>
  <c r="C782" i="34"/>
  <c r="K781" i="34"/>
  <c r="C781" i="34"/>
  <c r="K780" i="34"/>
  <c r="C780" i="34"/>
  <c r="K779" i="34"/>
  <c r="C779" i="34"/>
  <c r="C778" i="34"/>
  <c r="K777" i="34"/>
  <c r="C777" i="34"/>
  <c r="K776" i="34"/>
  <c r="C776" i="34"/>
  <c r="C768" i="34"/>
  <c r="K767" i="34"/>
  <c r="C767" i="34"/>
  <c r="K766" i="34"/>
  <c r="C766" i="34"/>
  <c r="K765" i="34"/>
  <c r="C765" i="34"/>
  <c r="C742" i="34"/>
  <c r="K741" i="34"/>
  <c r="C741" i="34"/>
  <c r="K740" i="34"/>
  <c r="C740" i="34"/>
  <c r="K739" i="34"/>
  <c r="C739" i="34"/>
  <c r="K738" i="34"/>
  <c r="C738" i="34"/>
  <c r="C736" i="34"/>
  <c r="K735" i="34"/>
  <c r="C735" i="34"/>
  <c r="C706" i="34"/>
  <c r="K705" i="34"/>
  <c r="C705" i="34"/>
  <c r="C687" i="34"/>
  <c r="K686" i="34"/>
  <c r="C686" i="34"/>
  <c r="C684" i="34"/>
  <c r="K683" i="34"/>
  <c r="C683" i="34"/>
  <c r="K682" i="34"/>
  <c r="C682" i="34"/>
  <c r="K681" i="34"/>
  <c r="C681" i="34"/>
  <c r="C678" i="34"/>
  <c r="K677" i="34"/>
  <c r="C677" i="34"/>
  <c r="K676" i="34"/>
  <c r="C676" i="34"/>
  <c r="K675" i="34"/>
  <c r="C675" i="34"/>
  <c r="K674" i="34"/>
  <c r="C674" i="34"/>
  <c r="K673" i="34"/>
  <c r="C673" i="34"/>
  <c r="C671" i="34"/>
  <c r="K670" i="34"/>
  <c r="C670" i="34"/>
  <c r="K669" i="34"/>
  <c r="C669" i="34"/>
  <c r="C667" i="34"/>
  <c r="K666" i="34"/>
  <c r="C666" i="34"/>
  <c r="C660" i="34"/>
  <c r="K659" i="34"/>
  <c r="C659" i="34"/>
  <c r="K658" i="34"/>
  <c r="C658" i="34"/>
  <c r="C584" i="34"/>
  <c r="K583" i="34"/>
  <c r="C583" i="34"/>
  <c r="K582" i="34"/>
  <c r="C582" i="34"/>
  <c r="C559" i="34"/>
  <c r="K558" i="34"/>
  <c r="C558" i="34"/>
  <c r="C556" i="34"/>
  <c r="K555" i="34"/>
  <c r="C555" i="34"/>
  <c r="K554" i="34"/>
  <c r="C554" i="34"/>
  <c r="C551" i="34"/>
  <c r="K550" i="34"/>
  <c r="C550" i="34"/>
  <c r="C547" i="34"/>
  <c r="K546" i="34"/>
  <c r="C546" i="34"/>
  <c r="K545" i="34"/>
  <c r="C545" i="34"/>
  <c r="K544" i="34"/>
  <c r="C544" i="34"/>
  <c r="K543" i="34"/>
  <c r="C543" i="34"/>
  <c r="C537" i="34"/>
  <c r="K536" i="34"/>
  <c r="C536" i="34"/>
  <c r="C499" i="34"/>
  <c r="K498" i="34"/>
  <c r="C498" i="34"/>
  <c r="C496" i="34"/>
  <c r="K495" i="34"/>
  <c r="C495" i="34"/>
  <c r="K494" i="34"/>
  <c r="C494" i="34"/>
  <c r="C492" i="34"/>
  <c r="K491" i="34"/>
  <c r="C491" i="34"/>
  <c r="K490" i="34"/>
  <c r="C490" i="34"/>
  <c r="C485" i="34"/>
  <c r="K484" i="34"/>
  <c r="C484" i="34"/>
  <c r="C481" i="34"/>
  <c r="C480" i="34"/>
  <c r="C478" i="34"/>
  <c r="K477" i="34"/>
  <c r="C477" i="34"/>
  <c r="K476" i="34"/>
  <c r="C476" i="34"/>
  <c r="C460" i="34"/>
  <c r="K459" i="34"/>
  <c r="C459" i="34"/>
  <c r="C458" i="34"/>
  <c r="C454" i="34"/>
  <c r="C441" i="34"/>
  <c r="K440" i="34"/>
  <c r="C440" i="34"/>
  <c r="K439" i="34"/>
  <c r="C439" i="34"/>
  <c r="K438" i="34"/>
  <c r="C438" i="34"/>
  <c r="C436" i="34"/>
  <c r="K435" i="34"/>
  <c r="C435" i="34"/>
  <c r="C430" i="34"/>
  <c r="K429" i="34"/>
  <c r="C429" i="34"/>
  <c r="C418" i="34"/>
  <c r="K417" i="34"/>
  <c r="C417" i="34"/>
  <c r="K416" i="34"/>
  <c r="C416" i="34"/>
  <c r="K415" i="34"/>
  <c r="C415" i="34"/>
  <c r="C402" i="34"/>
  <c r="K401" i="34"/>
  <c r="C401" i="34"/>
  <c r="C399" i="34"/>
  <c r="K398" i="34"/>
  <c r="C398" i="34"/>
  <c r="K397" i="34"/>
  <c r="C397" i="34"/>
  <c r="C395" i="34"/>
  <c r="K394" i="34"/>
  <c r="C394" i="34"/>
  <c r="C392" i="34"/>
  <c r="K391" i="34"/>
  <c r="C391" i="34"/>
  <c r="K390" i="34"/>
  <c r="C390" i="34"/>
  <c r="C348" i="34"/>
  <c r="K347" i="34"/>
  <c r="C347" i="34"/>
  <c r="K346" i="34"/>
  <c r="C346" i="34"/>
  <c r="K345" i="34"/>
  <c r="C345" i="34"/>
  <c r="K344" i="34"/>
  <c r="C344" i="34"/>
  <c r="K343" i="34"/>
  <c r="C343" i="34"/>
  <c r="C342" i="34"/>
  <c r="K341" i="34"/>
  <c r="C341" i="34"/>
  <c r="C334" i="34"/>
  <c r="K333" i="34"/>
  <c r="C333" i="34"/>
  <c r="K332" i="34"/>
  <c r="C332" i="34"/>
  <c r="K331" i="34"/>
  <c r="C331" i="34"/>
  <c r="K330" i="34"/>
  <c r="C330" i="34"/>
  <c r="C328" i="34"/>
  <c r="K327" i="34"/>
  <c r="C327" i="34"/>
  <c r="C323" i="34"/>
  <c r="K322" i="34"/>
  <c r="C322" i="34"/>
  <c r="C320" i="34"/>
  <c r="K319" i="34"/>
  <c r="C319" i="34"/>
  <c r="C317" i="34"/>
  <c r="C307" i="34"/>
  <c r="K306" i="34"/>
  <c r="C306" i="34"/>
  <c r="C209" i="34"/>
  <c r="K208" i="34"/>
  <c r="C208" i="34"/>
  <c r="C200" i="34"/>
  <c r="K199" i="34"/>
  <c r="C199" i="34"/>
  <c r="C182" i="34"/>
  <c r="K181" i="34"/>
  <c r="C181" i="34"/>
  <c r="C173" i="34"/>
  <c r="K172" i="34"/>
  <c r="C172" i="34"/>
  <c r="K171" i="34"/>
  <c r="C171" i="34"/>
  <c r="K170" i="34"/>
  <c r="C170" i="34"/>
  <c r="K169" i="34"/>
  <c r="C169" i="34"/>
  <c r="K168" i="34"/>
  <c r="C168" i="34"/>
  <c r="C103" i="34"/>
  <c r="K102" i="34"/>
  <c r="C102" i="34"/>
  <c r="K101" i="34"/>
  <c r="C101" i="34"/>
  <c r="K100" i="34"/>
  <c r="C100" i="34"/>
  <c r="K99" i="34"/>
  <c r="C99" i="34"/>
  <c r="K98" i="34"/>
  <c r="C98" i="34"/>
  <c r="K97" i="34"/>
  <c r="C97" i="34"/>
  <c r="C62" i="34"/>
  <c r="K61" i="34"/>
  <c r="C61" i="34"/>
  <c r="K60" i="34"/>
  <c r="C60" i="34"/>
  <c r="K59" i="34"/>
  <c r="C59" i="34"/>
  <c r="K58" i="34"/>
  <c r="C58" i="34"/>
  <c r="C49" i="34"/>
  <c r="K48" i="34"/>
  <c r="C48" i="34"/>
  <c r="C45" i="34"/>
  <c r="K44" i="34"/>
  <c r="C44" i="34"/>
  <c r="C42" i="34"/>
  <c r="K41" i="34"/>
  <c r="C41" i="34"/>
  <c r="C40" i="34"/>
  <c r="K39" i="34"/>
  <c r="C39" i="34"/>
  <c r="K38" i="34"/>
  <c r="C38" i="34"/>
  <c r="K37" i="34"/>
  <c r="C37" i="34"/>
  <c r="K36" i="34"/>
  <c r="C36" i="34"/>
  <c r="K35" i="34"/>
  <c r="C35" i="34"/>
  <c r="F1797" i="34"/>
  <c r="C1797" i="34"/>
  <c r="C1796" i="34"/>
  <c r="F1703" i="34"/>
  <c r="C1703" i="34"/>
  <c r="C1702" i="34"/>
  <c r="F1649" i="34"/>
  <c r="C1649" i="34"/>
  <c r="C1648" i="34"/>
  <c r="F1547" i="34"/>
  <c r="C1547" i="34"/>
  <c r="C1546" i="34"/>
  <c r="F1458" i="34"/>
  <c r="C1458" i="34"/>
  <c r="C1457" i="34"/>
  <c r="F1327" i="34"/>
  <c r="C1327" i="34"/>
  <c r="C1326" i="34"/>
  <c r="F1114" i="34"/>
  <c r="C1114" i="34"/>
  <c r="C1113" i="34"/>
  <c r="F943" i="34"/>
  <c r="C943" i="34"/>
  <c r="C942" i="34"/>
  <c r="F657" i="34"/>
  <c r="C657" i="34"/>
  <c r="C656" i="34"/>
  <c r="F470" i="34"/>
  <c r="C470" i="34"/>
  <c r="C469" i="34"/>
  <c r="F263" i="34"/>
  <c r="C263" i="34"/>
  <c r="C262" i="34"/>
  <c r="F147" i="34"/>
  <c r="C147" i="34"/>
  <c r="C146" i="34"/>
  <c r="C22" i="34"/>
  <c r="C1548" i="34"/>
  <c r="C1142" i="34"/>
  <c r="C471" i="34"/>
  <c r="C21" i="34"/>
  <c r="X470" i="34" l="1"/>
  <c r="Y470" i="34"/>
  <c r="Y1327" i="34"/>
  <c r="X1327" i="34"/>
  <c r="X1703" i="34"/>
  <c r="Y1703" i="34"/>
  <c r="X263" i="34"/>
  <c r="Y263" i="34"/>
  <c r="X1114" i="34"/>
  <c r="Y1114" i="34"/>
  <c r="X1649" i="34"/>
  <c r="Y1649" i="34"/>
  <c r="Y147" i="34"/>
  <c r="X147" i="34"/>
  <c r="Y943" i="34"/>
  <c r="X943" i="34"/>
  <c r="X1547" i="34"/>
  <c r="Y1547" i="34"/>
  <c r="X657" i="34"/>
  <c r="Y657" i="34"/>
  <c r="X1458" i="34"/>
  <c r="Y1458" i="34"/>
  <c r="X1797" i="34"/>
  <c r="Y1797" i="34"/>
  <c r="I354" i="55" a="1"/>
  <c r="I354" i="55" s="1"/>
  <c r="G354" i="55" a="1"/>
  <c r="G354" i="55" s="1"/>
  <c r="G352" i="55" a="1"/>
  <c r="G352" i="55" s="1"/>
  <c r="I353" i="55" a="1"/>
  <c r="I353" i="55" s="1"/>
  <c r="I352" i="55" a="1"/>
  <c r="I352" i="55" s="1"/>
  <c r="G353" i="55" a="1"/>
  <c r="G353" i="55" s="1"/>
  <c r="G19" i="55" a="1"/>
  <c r="G19" i="55" s="1"/>
  <c r="G325" i="55" a="1"/>
  <c r="G325" i="55" s="1"/>
  <c r="G326" i="55" a="1"/>
  <c r="G326" i="55" s="1"/>
  <c r="G327" i="55" a="1"/>
  <c r="G327" i="55" s="1"/>
  <c r="G328" i="55" a="1"/>
  <c r="G328" i="55" s="1"/>
  <c r="G329" i="55" a="1"/>
  <c r="G329" i="55" s="1"/>
  <c r="G330" i="55" a="1"/>
  <c r="G330" i="55" s="1"/>
  <c r="I19" i="55" a="1"/>
  <c r="I19" i="55" s="1"/>
  <c r="I325" i="55" a="1"/>
  <c r="I325" i="55" s="1"/>
  <c r="I326" i="55" a="1"/>
  <c r="I326" i="55" s="1"/>
  <c r="I327" i="55" a="1"/>
  <c r="I327" i="55" s="1"/>
  <c r="I328" i="55" a="1"/>
  <c r="I328" i="55" s="1"/>
  <c r="I329" i="55" a="1"/>
  <c r="I329" i="55" s="1"/>
  <c r="I330" i="55" a="1"/>
  <c r="I330" i="55" s="1"/>
  <c r="I37" i="55" a="1"/>
  <c r="I37" i="55" s="1"/>
  <c r="G37" i="55" a="1"/>
  <c r="G37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59" i="55" a="1"/>
  <c r="I59" i="55" s="1"/>
  <c r="G61" i="55" a="1"/>
  <c r="G61" i="55" s="1"/>
  <c r="I66" i="55" a="1"/>
  <c r="I66" i="55" s="1"/>
  <c r="G68" i="55" a="1"/>
  <c r="G68" i="55" s="1"/>
  <c r="G69" i="55" a="1"/>
  <c r="G69" i="55" s="1"/>
  <c r="I74" i="55" a="1"/>
  <c r="I74" i="55" s="1"/>
  <c r="I75" i="55" a="1"/>
  <c r="I75" i="55" s="1"/>
  <c r="I76" i="55" a="1"/>
  <c r="I76" i="55" s="1"/>
  <c r="G78" i="55" a="1"/>
  <c r="G78" i="55" s="1"/>
  <c r="I83" i="55" a="1"/>
  <c r="I83" i="55" s="1"/>
  <c r="I85" i="55" a="1"/>
  <c r="I85" i="55" s="1"/>
  <c r="G88" i="55" a="1"/>
  <c r="G88" i="55" s="1"/>
  <c r="G89" i="55" a="1"/>
  <c r="G89" i="55" s="1"/>
  <c r="G90" i="55" a="1"/>
  <c r="G90" i="55" s="1"/>
  <c r="G193" i="55" a="1"/>
  <c r="G193" i="55" s="1"/>
  <c r="G195" i="55" a="1"/>
  <c r="G195" i="55" s="1"/>
  <c r="G196" i="55" a="1"/>
  <c r="G196" i="55" s="1"/>
  <c r="I197" i="55" a="1"/>
  <c r="I197" i="55" s="1"/>
  <c r="G201" i="55" a="1"/>
  <c r="G201" i="55" s="1"/>
  <c r="I202" i="55" a="1"/>
  <c r="I202" i="55" s="1"/>
  <c r="I204" i="55" a="1"/>
  <c r="I204" i="55" s="1"/>
  <c r="I209" i="55" a="1"/>
  <c r="I209" i="55" s="1"/>
  <c r="I332" i="55" a="1"/>
  <c r="I332" i="55" s="1"/>
  <c r="I333" i="55" a="1"/>
  <c r="I333" i="55" s="1"/>
  <c r="I334" i="55" a="1"/>
  <c r="I334" i="55" s="1"/>
  <c r="I335" i="55" a="1"/>
  <c r="I335" i="55" s="1"/>
  <c r="I336" i="55" a="1"/>
  <c r="I336" i="55" s="1"/>
  <c r="I337" i="55" a="1"/>
  <c r="I337" i="55" s="1"/>
  <c r="G51" i="55" a="1"/>
  <c r="G51" i="55" s="1"/>
  <c r="G52" i="55" a="1"/>
  <c r="G52" i="55" s="1"/>
  <c r="G53" i="55" a="1"/>
  <c r="G53" i="55" s="1"/>
  <c r="G54" i="55" a="1"/>
  <c r="G54" i="55" s="1"/>
  <c r="K54" i="55" s="1"/>
  <c r="I60" i="55" a="1"/>
  <c r="I60" i="55" s="1"/>
  <c r="G62" i="55" a="1"/>
  <c r="G62" i="55" s="1"/>
  <c r="G63" i="55" a="1"/>
  <c r="G63" i="55" s="1"/>
  <c r="G64" i="55" a="1"/>
  <c r="G64" i="55" s="1"/>
  <c r="G65" i="55" a="1"/>
  <c r="G65" i="55" s="1"/>
  <c r="G66" i="55" a="1"/>
  <c r="G66" i="55" s="1"/>
  <c r="G70" i="55" a="1"/>
  <c r="G70" i="55" s="1"/>
  <c r="G71" i="55" a="1"/>
  <c r="G71" i="55" s="1"/>
  <c r="G72" i="55" a="1"/>
  <c r="G72" i="55" s="1"/>
  <c r="G73" i="55" a="1"/>
  <c r="G73" i="55" s="1"/>
  <c r="I77" i="55" a="1"/>
  <c r="I77" i="55" s="1"/>
  <c r="G79" i="55" a="1"/>
  <c r="G79" i="55" s="1"/>
  <c r="G80" i="55" a="1"/>
  <c r="G80" i="55" s="1"/>
  <c r="G81" i="55" a="1"/>
  <c r="G81" i="55" s="1"/>
  <c r="G82" i="55" a="1"/>
  <c r="G82" i="55" s="1"/>
  <c r="G83" i="55" a="1"/>
  <c r="G83" i="55" s="1"/>
  <c r="K83" i="55" s="1"/>
  <c r="I87" i="55" a="1"/>
  <c r="I87" i="55" s="1"/>
  <c r="G91" i="55" a="1"/>
  <c r="G91" i="55" s="1"/>
  <c r="G93" i="55" a="1"/>
  <c r="G93" i="55" s="1"/>
  <c r="G107" i="55" a="1"/>
  <c r="G107" i="55" s="1"/>
  <c r="I113" i="55" a="1"/>
  <c r="I113" i="55" s="1"/>
  <c r="G197" i="55" a="1"/>
  <c r="G197" i="55" s="1"/>
  <c r="K197" i="55" s="1"/>
  <c r="G202" i="55" a="1"/>
  <c r="G202" i="55" s="1"/>
  <c r="K202" i="55" s="1"/>
  <c r="G55" i="55" a="1"/>
  <c r="G55" i="55" s="1"/>
  <c r="G56" i="55" a="1"/>
  <c r="G56" i="55" s="1"/>
  <c r="G57" i="55" a="1"/>
  <c r="G57" i="55" s="1"/>
  <c r="G58" i="55" a="1"/>
  <c r="G58" i="55" s="1"/>
  <c r="K58" i="55" s="1"/>
  <c r="G59" i="55" a="1"/>
  <c r="G59" i="55" s="1"/>
  <c r="G60" i="55" a="1"/>
  <c r="G60" i="55" s="1"/>
  <c r="K60" i="55" s="1"/>
  <c r="I61" i="55" a="1"/>
  <c r="I61" i="55" s="1"/>
  <c r="I67" i="55" a="1"/>
  <c r="I67" i="55" s="1"/>
  <c r="I68" i="55" a="1"/>
  <c r="I68" i="55" s="1"/>
  <c r="G74" i="55" a="1"/>
  <c r="G74" i="55" s="1"/>
  <c r="G75" i="55" a="1"/>
  <c r="G75" i="55" s="1"/>
  <c r="G76" i="55" a="1"/>
  <c r="G76" i="55" s="1"/>
  <c r="K76" i="55" s="1"/>
  <c r="G85" i="55" a="1"/>
  <c r="G85" i="55" s="1"/>
  <c r="G87" i="55" a="1"/>
  <c r="G87" i="55" s="1"/>
  <c r="K87" i="55" s="1"/>
  <c r="I88" i="55" a="1"/>
  <c r="I88" i="55" s="1"/>
  <c r="I89" i="55" a="1"/>
  <c r="I89" i="55" s="1"/>
  <c r="I90" i="55" a="1"/>
  <c r="I90" i="55" s="1"/>
  <c r="G113" i="55" a="1"/>
  <c r="G113" i="55" s="1"/>
  <c r="K113" i="55" s="1"/>
  <c r="I193" i="55" a="1"/>
  <c r="I193" i="55" s="1"/>
  <c r="I195" i="55" a="1"/>
  <c r="I195" i="55" s="1"/>
  <c r="I196" i="55" a="1"/>
  <c r="I196" i="55" s="1"/>
  <c r="G204" i="55" a="1"/>
  <c r="G204" i="55" s="1"/>
  <c r="K204" i="55" s="1"/>
  <c r="I51" i="55" a="1"/>
  <c r="I51" i="55" s="1"/>
  <c r="I52" i="55" a="1"/>
  <c r="I52" i="55" s="1"/>
  <c r="I53" i="55" a="1"/>
  <c r="I53" i="55" s="1"/>
  <c r="I62" i="55" a="1"/>
  <c r="I62" i="55" s="1"/>
  <c r="I63" i="55" a="1"/>
  <c r="I63" i="55" s="1"/>
  <c r="I64" i="55" a="1"/>
  <c r="I64" i="55" s="1"/>
  <c r="I65" i="55" a="1"/>
  <c r="I65" i="55" s="1"/>
  <c r="G67" i="55" a="1"/>
  <c r="G67" i="55" s="1"/>
  <c r="I69" i="55" a="1"/>
  <c r="I69" i="55" s="1"/>
  <c r="I70" i="55" a="1"/>
  <c r="I70" i="55" s="1"/>
  <c r="I71" i="55" a="1"/>
  <c r="I71" i="55" s="1"/>
  <c r="I72" i="55" a="1"/>
  <c r="I72" i="55" s="1"/>
  <c r="I73" i="55" a="1"/>
  <c r="I73" i="55" s="1"/>
  <c r="G77" i="55" a="1"/>
  <c r="G77" i="55" s="1"/>
  <c r="K77" i="55" s="1"/>
  <c r="I78" i="55" a="1"/>
  <c r="I78" i="55" s="1"/>
  <c r="I79" i="55" a="1"/>
  <c r="I79" i="55" s="1"/>
  <c r="I80" i="55" a="1"/>
  <c r="I80" i="55" s="1"/>
  <c r="I81" i="55" a="1"/>
  <c r="I81" i="55" s="1"/>
  <c r="I82" i="55" a="1"/>
  <c r="I82" i="55" s="1"/>
  <c r="I91" i="55" a="1"/>
  <c r="I91" i="55" s="1"/>
  <c r="I93" i="55" a="1"/>
  <c r="I93" i="55" s="1"/>
  <c r="I107" i="55" a="1"/>
  <c r="I107" i="55" s="1"/>
  <c r="I201" i="55" a="1"/>
  <c r="I201" i="55" s="1"/>
  <c r="G333" i="55" a="1"/>
  <c r="G333" i="55" s="1"/>
  <c r="K333" i="55" s="1"/>
  <c r="G337" i="55" a="1"/>
  <c r="G337" i="55" s="1"/>
  <c r="G338" i="55" a="1"/>
  <c r="G338" i="55" s="1"/>
  <c r="I339" i="55" a="1"/>
  <c r="I339" i="55" s="1"/>
  <c r="G260" i="55" a="1"/>
  <c r="G260" i="55" s="1"/>
  <c r="I261" i="55" a="1"/>
  <c r="I261" i="55" s="1"/>
  <c r="G264" i="55" a="1"/>
  <c r="G264" i="55" s="1"/>
  <c r="G274" i="55" a="1"/>
  <c r="G274" i="55" s="1"/>
  <c r="G275" i="55" a="1"/>
  <c r="G275" i="55" s="1"/>
  <c r="G276" i="55" a="1"/>
  <c r="G276" i="55" s="1"/>
  <c r="G277" i="55" a="1"/>
  <c r="G277" i="55" s="1"/>
  <c r="I288" i="55" a="1"/>
  <c r="I288" i="55" s="1"/>
  <c r="I289" i="55" a="1"/>
  <c r="I289" i="55" s="1"/>
  <c r="I290" i="55" a="1"/>
  <c r="I290" i="55" s="1"/>
  <c r="I293" i="55" a="1"/>
  <c r="I293" i="55" s="1"/>
  <c r="I294" i="55" a="1"/>
  <c r="I294" i="55" s="1"/>
  <c r="I295" i="55" a="1"/>
  <c r="I295" i="55" s="1"/>
  <c r="G300" i="55" a="1"/>
  <c r="G300" i="55" s="1"/>
  <c r="I303" i="55" a="1"/>
  <c r="I303" i="55" s="1"/>
  <c r="G305" i="55" a="1"/>
  <c r="G305" i="55" s="1"/>
  <c r="G306" i="55" a="1"/>
  <c r="G306" i="55" s="1"/>
  <c r="G307" i="55" a="1"/>
  <c r="G307" i="55" s="1"/>
  <c r="G317" i="55" a="1"/>
  <c r="G317" i="55" s="1"/>
  <c r="I318" i="55" a="1"/>
  <c r="I318" i="55" s="1"/>
  <c r="I319" i="55" a="1"/>
  <c r="I319" i="55" s="1"/>
  <c r="I331" i="55" a="1"/>
  <c r="I331" i="55" s="1"/>
  <c r="G22" i="55" a="1"/>
  <c r="G22" i="55" s="1"/>
  <c r="G23" i="55" a="1"/>
  <c r="G23" i="55" s="1"/>
  <c r="I25" i="55" a="1"/>
  <c r="I25" i="55" s="1"/>
  <c r="I26" i="55" a="1"/>
  <c r="I26" i="55" s="1"/>
  <c r="I27" i="55" a="1"/>
  <c r="I27" i="55" s="1"/>
  <c r="I28" i="55" a="1"/>
  <c r="I28" i="55" s="1"/>
  <c r="I29" i="55" a="1"/>
  <c r="I29" i="55" s="1"/>
  <c r="I30" i="55" a="1"/>
  <c r="I30" i="55" s="1"/>
  <c r="I31" i="55" a="1"/>
  <c r="I31" i="55" s="1"/>
  <c r="I32" i="55" a="1"/>
  <c r="I32" i="55" s="1"/>
  <c r="G336" i="55" a="1"/>
  <c r="G336" i="55" s="1"/>
  <c r="I338" i="55" a="1"/>
  <c r="I338" i="55" s="1"/>
  <c r="G341" i="55" a="1"/>
  <c r="G341" i="55" s="1"/>
  <c r="I260" i="55" a="1"/>
  <c r="I260" i="55" s="1"/>
  <c r="G263" i="55" a="1"/>
  <c r="G263" i="55" s="1"/>
  <c r="I264" i="55" a="1"/>
  <c r="I264" i="55" s="1"/>
  <c r="I265" i="55" a="1"/>
  <c r="I265" i="55" s="1"/>
  <c r="I266" i="55" a="1"/>
  <c r="I266" i="55" s="1"/>
  <c r="I267" i="55" a="1"/>
  <c r="I267" i="55" s="1"/>
  <c r="I268" i="55" a="1"/>
  <c r="I268" i="55" s="1"/>
  <c r="I269" i="55" a="1"/>
  <c r="I269" i="55" s="1"/>
  <c r="I270" i="55" a="1"/>
  <c r="I270" i="55" s="1"/>
  <c r="I271" i="55" a="1"/>
  <c r="I271" i="55" s="1"/>
  <c r="I272" i="55" a="1"/>
  <c r="I272" i="55" s="1"/>
  <c r="G278" i="55" a="1"/>
  <c r="G278" i="55" s="1"/>
  <c r="G279" i="55" a="1"/>
  <c r="G279" i="55" s="1"/>
  <c r="G280" i="55" a="1"/>
  <c r="G280" i="55" s="1"/>
  <c r="G281" i="55" a="1"/>
  <c r="G281" i="55" s="1"/>
  <c r="G282" i="55" a="1"/>
  <c r="G282" i="55" s="1"/>
  <c r="G283" i="55" a="1"/>
  <c r="G283" i="55" s="1"/>
  <c r="G284" i="55" a="1"/>
  <c r="G284" i="55" s="1"/>
  <c r="G285" i="55" a="1"/>
  <c r="G285" i="55" s="1"/>
  <c r="G286" i="55" a="1"/>
  <c r="G286" i="55" s="1"/>
  <c r="G287" i="55" a="1"/>
  <c r="G287" i="55" s="1"/>
  <c r="I291" i="55" a="1"/>
  <c r="I291" i="55" s="1"/>
  <c r="I296" i="55" a="1"/>
  <c r="I296" i="55" s="1"/>
  <c r="I297" i="55" a="1"/>
  <c r="I297" i="55" s="1"/>
  <c r="I298" i="55" a="1"/>
  <c r="I298" i="55" s="1"/>
  <c r="I299" i="55" a="1"/>
  <c r="I299" i="55" s="1"/>
  <c r="G301" i="55" a="1"/>
  <c r="G301" i="55" s="1"/>
  <c r="G302" i="55" a="1"/>
  <c r="G302" i="55" s="1"/>
  <c r="G303" i="55" a="1"/>
  <c r="G303" i="55" s="1"/>
  <c r="I304" i="55" a="1"/>
  <c r="I304" i="55" s="1"/>
  <c r="G308" i="55" a="1"/>
  <c r="G308" i="55" s="1"/>
  <c r="G309" i="55" a="1"/>
  <c r="G309" i="55" s="1"/>
  <c r="G310" i="55" a="1"/>
  <c r="G310" i="55" s="1"/>
  <c r="G311" i="55" a="1"/>
  <c r="G311" i="55" s="1"/>
  <c r="G312" i="55" a="1"/>
  <c r="G312" i="55" s="1"/>
  <c r="G313" i="55" a="1"/>
  <c r="G313" i="55" s="1"/>
  <c r="I314" i="55" a="1"/>
  <c r="I314" i="55" s="1"/>
  <c r="I315" i="55" a="1"/>
  <c r="I315" i="55" s="1"/>
  <c r="G318" i="55" a="1"/>
  <c r="G318" i="55" s="1"/>
  <c r="I320" i="55" a="1"/>
  <c r="I320" i="55" s="1"/>
  <c r="I321" i="55" a="1"/>
  <c r="I321" i="55" s="1"/>
  <c r="I322" i="55" a="1"/>
  <c r="I322" i="55" s="1"/>
  <c r="I323" i="55" a="1"/>
  <c r="I323" i="55" s="1"/>
  <c r="I324" i="55" a="1"/>
  <c r="I324" i="55" s="1"/>
  <c r="G332" i="55" a="1"/>
  <c r="G332" i="55" s="1"/>
  <c r="G335" i="55" a="1"/>
  <c r="G335" i="55" s="1"/>
  <c r="K335" i="55" s="1"/>
  <c r="G340" i="55" a="1"/>
  <c r="G340" i="55" s="1"/>
  <c r="I341" i="55" a="1"/>
  <c r="I341" i="55" s="1"/>
  <c r="G262" i="55" a="1"/>
  <c r="G262" i="55" s="1"/>
  <c r="I263" i="55" a="1"/>
  <c r="I263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G288" i="55" a="1"/>
  <c r="G288" i="55" s="1"/>
  <c r="K288" i="55" s="1"/>
  <c r="G289" i="55" a="1"/>
  <c r="G289" i="55" s="1"/>
  <c r="G290" i="55" a="1"/>
  <c r="G290" i="55" s="1"/>
  <c r="K290" i="55" s="1"/>
  <c r="I292" i="55" a="1"/>
  <c r="I292" i="55" s="1"/>
  <c r="G293" i="55" a="1"/>
  <c r="G293" i="55" s="1"/>
  <c r="K293" i="55" s="1"/>
  <c r="G294" i="55" a="1"/>
  <c r="G294" i="55" s="1"/>
  <c r="K294" i="55" s="1"/>
  <c r="G295" i="55" a="1"/>
  <c r="G295" i="55" s="1"/>
  <c r="K295" i="55" s="1"/>
  <c r="G296" i="55" a="1"/>
  <c r="G296" i="55" s="1"/>
  <c r="I300" i="55" a="1"/>
  <c r="I300" i="55" s="1"/>
  <c r="I305" i="55" a="1"/>
  <c r="I305" i="55" s="1"/>
  <c r="I306" i="55" a="1"/>
  <c r="I306" i="55" s="1"/>
  <c r="G314" i="55" a="1"/>
  <c r="G314" i="55" s="1"/>
  <c r="I316" i="55" a="1"/>
  <c r="I316" i="55" s="1"/>
  <c r="I317" i="55" a="1"/>
  <c r="I317" i="55" s="1"/>
  <c r="G209" i="55" a="1"/>
  <c r="G209" i="55" s="1"/>
  <c r="K209" i="55" s="1"/>
  <c r="G334" i="55" a="1"/>
  <c r="G334" i="55" s="1"/>
  <c r="G339" i="55" a="1"/>
  <c r="G339" i="55" s="1"/>
  <c r="K339" i="55" s="1"/>
  <c r="I340" i="55" a="1"/>
  <c r="I340" i="55" s="1"/>
  <c r="G261" i="55" a="1"/>
  <c r="G261" i="55" s="1"/>
  <c r="K261" i="55" s="1"/>
  <c r="I262" i="55" a="1"/>
  <c r="I262" i="55" s="1"/>
  <c r="G265" i="55" a="1"/>
  <c r="G265" i="55" s="1"/>
  <c r="G266" i="55" a="1"/>
  <c r="G266" i="55" s="1"/>
  <c r="G267" i="55" a="1"/>
  <c r="G267" i="55" s="1"/>
  <c r="G268" i="55" a="1"/>
  <c r="G268" i="55" s="1"/>
  <c r="G269" i="55" a="1"/>
  <c r="G269" i="55" s="1"/>
  <c r="G270" i="55" a="1"/>
  <c r="G270" i="55" s="1"/>
  <c r="G271" i="55" a="1"/>
  <c r="G271" i="55" s="1"/>
  <c r="G272" i="55" a="1"/>
  <c r="G272" i="55" s="1"/>
  <c r="G273" i="55" a="1"/>
  <c r="G273" i="55" s="1"/>
  <c r="I278" i="55" a="1"/>
  <c r="I278" i="55" s="1"/>
  <c r="I279" i="55" a="1"/>
  <c r="I279" i="55" s="1"/>
  <c r="I280" i="55" a="1"/>
  <c r="I280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I286" i="55" a="1"/>
  <c r="I286" i="55" s="1"/>
  <c r="I287" i="55" a="1"/>
  <c r="I287" i="55" s="1"/>
  <c r="G291" i="55" a="1"/>
  <c r="G291" i="55" s="1"/>
  <c r="G292" i="55" a="1"/>
  <c r="G292" i="55" s="1"/>
  <c r="G297" i="55" a="1"/>
  <c r="G297" i="55" s="1"/>
  <c r="G298" i="55" a="1"/>
  <c r="G298" i="55" s="1"/>
  <c r="K298" i="55" s="1"/>
  <c r="G299" i="55" a="1"/>
  <c r="G299" i="55" s="1"/>
  <c r="I301" i="55" a="1"/>
  <c r="I301" i="55" s="1"/>
  <c r="I302" i="55" a="1"/>
  <c r="I302" i="55" s="1"/>
  <c r="G304" i="55" a="1"/>
  <c r="G304" i="55" s="1"/>
  <c r="I307" i="55" a="1"/>
  <c r="I307" i="55" s="1"/>
  <c r="I308" i="55" a="1"/>
  <c r="I308" i="55" s="1"/>
  <c r="I309" i="55" a="1"/>
  <c r="I309" i="55" s="1"/>
  <c r="I310" i="55" a="1"/>
  <c r="I310" i="55" s="1"/>
  <c r="I311" i="55" a="1"/>
  <c r="I311" i="55" s="1"/>
  <c r="I312" i="55" a="1"/>
  <c r="I312" i="55" s="1"/>
  <c r="I313" i="55" a="1"/>
  <c r="I313" i="55" s="1"/>
  <c r="G315" i="55" a="1"/>
  <c r="G315" i="55" s="1"/>
  <c r="G316" i="55" a="1"/>
  <c r="G316" i="55" s="1"/>
  <c r="G320" i="55" a="1"/>
  <c r="G320" i="55" s="1"/>
  <c r="G321" i="55" a="1"/>
  <c r="G321" i="55" s="1"/>
  <c r="G322" i="55" a="1"/>
  <c r="G322" i="55" s="1"/>
  <c r="G323" i="55" a="1"/>
  <c r="G323" i="55" s="1"/>
  <c r="G324" i="55" a="1"/>
  <c r="G324" i="55" s="1"/>
  <c r="G319" i="55" a="1"/>
  <c r="G319" i="55" s="1"/>
  <c r="I20" i="55" a="1"/>
  <c r="I20" i="55" s="1"/>
  <c r="G21" i="55" a="1"/>
  <c r="G21" i="55" s="1"/>
  <c r="I23" i="55" a="1"/>
  <c r="I23" i="55" s="1"/>
  <c r="I24" i="55" a="1"/>
  <c r="I24" i="55" s="1"/>
  <c r="G27" i="55" a="1"/>
  <c r="G27" i="55" s="1"/>
  <c r="G31" i="55" a="1"/>
  <c r="G31" i="55" s="1"/>
  <c r="G36" i="55" a="1"/>
  <c r="G36" i="55" s="1"/>
  <c r="I38" i="55" a="1"/>
  <c r="I38" i="55" s="1"/>
  <c r="I39" i="55" a="1"/>
  <c r="I39" i="55" s="1"/>
  <c r="I40" i="55" a="1"/>
  <c r="I40" i="55" s="1"/>
  <c r="G42" i="55" a="1"/>
  <c r="G42" i="55" s="1"/>
  <c r="G43" i="55" a="1"/>
  <c r="G43" i="55" s="1"/>
  <c r="G44" i="55" a="1"/>
  <c r="G44" i="55" s="1"/>
  <c r="G45" i="55" a="1"/>
  <c r="G45" i="55" s="1"/>
  <c r="G46" i="55" a="1"/>
  <c r="G46" i="55" s="1"/>
  <c r="G47" i="55" a="1"/>
  <c r="G47" i="55" s="1"/>
  <c r="G48" i="55" a="1"/>
  <c r="G48" i="55" s="1"/>
  <c r="G49" i="55" a="1"/>
  <c r="G49" i="55" s="1"/>
  <c r="G50" i="55" a="1"/>
  <c r="G50" i="55" s="1"/>
  <c r="G230" i="55" a="1"/>
  <c r="G230" i="55" s="1"/>
  <c r="G231" i="55" a="1"/>
  <c r="G231" i="55" s="1"/>
  <c r="G232" i="55" a="1"/>
  <c r="G232" i="55" s="1"/>
  <c r="G233" i="55" a="1"/>
  <c r="G233" i="55" s="1"/>
  <c r="G234" i="55" a="1"/>
  <c r="G234" i="55" s="1"/>
  <c r="G235" i="55" a="1"/>
  <c r="G235" i="55" s="1"/>
  <c r="G236" i="55" a="1"/>
  <c r="G236" i="55" s="1"/>
  <c r="G237" i="55" a="1"/>
  <c r="G237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I252" i="55" a="1"/>
  <c r="I252" i="55" s="1"/>
  <c r="I254" i="55" a="1"/>
  <c r="I254" i="55" s="1"/>
  <c r="I256" i="55" a="1"/>
  <c r="I256" i="55" s="1"/>
  <c r="G331" i="55" a="1"/>
  <c r="G331" i="55" s="1"/>
  <c r="I22" i="55" a="1"/>
  <c r="I22" i="55" s="1"/>
  <c r="G26" i="55" a="1"/>
  <c r="G26" i="55" s="1"/>
  <c r="K26" i="55" s="1"/>
  <c r="G30" i="55" a="1"/>
  <c r="G30" i="55" s="1"/>
  <c r="I33" i="55" a="1"/>
  <c r="I33" i="55" s="1"/>
  <c r="I34" i="55" a="1"/>
  <c r="I34" i="55" s="1"/>
  <c r="I35" i="55" a="1"/>
  <c r="I35" i="55" s="1"/>
  <c r="G38" i="55" a="1"/>
  <c r="G38" i="55" s="1"/>
  <c r="I41" i="55" a="1"/>
  <c r="I41" i="55" s="1"/>
  <c r="G259" i="55" a="1"/>
  <c r="G259" i="55" s="1"/>
  <c r="I255" i="55" a="1"/>
  <c r="I255" i="55" s="1"/>
  <c r="I257" i="55" a="1"/>
  <c r="I257" i="55" s="1"/>
  <c r="I21" i="55" a="1"/>
  <c r="I21" i="55" s="1"/>
  <c r="G24" i="55" a="1"/>
  <c r="G24" i="55" s="1"/>
  <c r="G25" i="55" a="1"/>
  <c r="G25" i="55" s="1"/>
  <c r="K25" i="55" s="1"/>
  <c r="G29" i="55" a="1"/>
  <c r="G29" i="55" s="1"/>
  <c r="K29" i="55" s="1"/>
  <c r="G33" i="55" a="1"/>
  <c r="G33" i="55" s="1"/>
  <c r="I36" i="55" a="1"/>
  <c r="I36" i="55" s="1"/>
  <c r="G39" i="55" a="1"/>
  <c r="G39" i="55" s="1"/>
  <c r="G40" i="55" a="1"/>
  <c r="G40" i="55" s="1"/>
  <c r="I42" i="55" a="1"/>
  <c r="I42" i="55" s="1"/>
  <c r="I43" i="55" a="1"/>
  <c r="I43" i="55" s="1"/>
  <c r="I44" i="55" a="1"/>
  <c r="I44" i="55" s="1"/>
  <c r="I45" i="55" a="1"/>
  <c r="I45" i="55" s="1"/>
  <c r="I46" i="55" a="1"/>
  <c r="I46" i="55" s="1"/>
  <c r="I47" i="55" a="1"/>
  <c r="I47" i="55" s="1"/>
  <c r="I48" i="55" a="1"/>
  <c r="I48" i="55" s="1"/>
  <c r="I49" i="55" a="1"/>
  <c r="I49" i="55" s="1"/>
  <c r="I50" i="55" a="1"/>
  <c r="I50" i="55" s="1"/>
  <c r="I230" i="55" a="1"/>
  <c r="I230" i="55" s="1"/>
  <c r="I231" i="55" a="1"/>
  <c r="I231" i="55" s="1"/>
  <c r="I232" i="55" a="1"/>
  <c r="I232" i="55" s="1"/>
  <c r="I233" i="55" a="1"/>
  <c r="I233" i="55" s="1"/>
  <c r="I234" i="55" a="1"/>
  <c r="I234" i="55" s="1"/>
  <c r="I235" i="55" a="1"/>
  <c r="I235" i="55" s="1"/>
  <c r="I236" i="55" a="1"/>
  <c r="I236" i="55" s="1"/>
  <c r="I237" i="55" a="1"/>
  <c r="I237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3" i="55" a="1"/>
  <c r="I253" i="55" s="1"/>
  <c r="I258" i="55" a="1"/>
  <c r="I258" i="55" s="1"/>
  <c r="G20" i="55" a="1"/>
  <c r="G20" i="55" s="1"/>
  <c r="G28" i="55" a="1"/>
  <c r="G28" i="55" s="1"/>
  <c r="K28" i="55" s="1"/>
  <c r="G32" i="55" a="1"/>
  <c r="G32" i="55" s="1"/>
  <c r="K32" i="55" s="1"/>
  <c r="G34" i="55" a="1"/>
  <c r="G34" i="55" s="1"/>
  <c r="G35" i="55" a="1"/>
  <c r="G35" i="55" s="1"/>
  <c r="G41" i="55" a="1"/>
  <c r="G41" i="55" s="1"/>
  <c r="I259" i="55" a="1"/>
  <c r="I259" i="55" s="1"/>
  <c r="K24" i="55" l="1"/>
  <c r="K85" i="55"/>
  <c r="K337" i="55"/>
  <c r="K354" i="55"/>
  <c r="K39" i="55"/>
  <c r="K27" i="55"/>
  <c r="K353" i="55"/>
  <c r="K352" i="55"/>
  <c r="K262" i="55"/>
  <c r="K37" i="55"/>
  <c r="K256" i="55"/>
  <c r="K252" i="55"/>
  <c r="K257" i="55"/>
  <c r="K253" i="55"/>
  <c r="K249" i="55"/>
  <c r="K245" i="55"/>
  <c r="K241" i="55"/>
  <c r="K237" i="55"/>
  <c r="K233" i="55"/>
  <c r="K263" i="55"/>
  <c r="K260" i="55"/>
  <c r="K80" i="55"/>
  <c r="K196" i="55"/>
  <c r="K89" i="55"/>
  <c r="K244" i="55"/>
  <c r="K240" i="55"/>
  <c r="K236" i="55"/>
  <c r="K232" i="55"/>
  <c r="K107" i="55"/>
  <c r="K79" i="55"/>
  <c r="K195" i="55"/>
  <c r="K88" i="55"/>
  <c r="K255" i="55"/>
  <c r="K251" i="55"/>
  <c r="K247" i="55"/>
  <c r="K243" i="55"/>
  <c r="K239" i="55"/>
  <c r="K235" i="55"/>
  <c r="K231" i="55"/>
  <c r="K93" i="55"/>
  <c r="K82" i="55"/>
  <c r="K201" i="55"/>
  <c r="K193" i="55"/>
  <c r="K248" i="55"/>
  <c r="K259" i="55"/>
  <c r="K258" i="55"/>
  <c r="K254" i="55"/>
  <c r="K250" i="55"/>
  <c r="K246" i="55"/>
  <c r="K242" i="55"/>
  <c r="K238" i="55"/>
  <c r="K234" i="55"/>
  <c r="K230" i="55"/>
  <c r="K91" i="55"/>
  <c r="K81" i="55"/>
  <c r="K90" i="55"/>
  <c r="K334" i="55"/>
  <c r="K75" i="55"/>
  <c r="K57" i="55"/>
  <c r="K20" i="55"/>
  <c r="K31" i="55"/>
  <c r="K297" i="55"/>
  <c r="K303" i="55"/>
  <c r="K40" i="55"/>
  <c r="K59" i="55"/>
  <c r="K55" i="55"/>
  <c r="K299" i="55"/>
  <c r="K291" i="55"/>
  <c r="K327" i="55"/>
  <c r="K330" i="55"/>
  <c r="K326" i="55"/>
  <c r="K329" i="55"/>
  <c r="K325" i="55"/>
  <c r="K328" i="55"/>
  <c r="K19" i="55"/>
  <c r="K41" i="55"/>
  <c r="K38" i="55"/>
  <c r="K33" i="55"/>
  <c r="K34" i="55"/>
  <c r="K315" i="55"/>
  <c r="K304" i="55"/>
  <c r="K271" i="55"/>
  <c r="K267" i="55"/>
  <c r="K318" i="55"/>
  <c r="K321" i="55"/>
  <c r="K316" i="55"/>
  <c r="K270" i="55"/>
  <c r="K266" i="55"/>
  <c r="K314" i="55"/>
  <c r="K35" i="55"/>
  <c r="K30" i="55"/>
  <c r="K319" i="55"/>
  <c r="K332" i="55"/>
  <c r="K336" i="55"/>
  <c r="K331" i="55"/>
  <c r="K74" i="55"/>
  <c r="K56" i="55"/>
  <c r="K323" i="55"/>
  <c r="K272" i="55"/>
  <c r="K268" i="55"/>
  <c r="K296" i="55"/>
  <c r="K289" i="55"/>
  <c r="K66" i="55"/>
  <c r="K265" i="55"/>
  <c r="K269" i="55"/>
  <c r="K324" i="55"/>
  <c r="K320" i="55"/>
  <c r="K312" i="55"/>
  <c r="K308" i="55"/>
  <c r="K301" i="55"/>
  <c r="K285" i="55"/>
  <c r="K47" i="55"/>
  <c r="K43" i="55"/>
  <c r="K340" i="55"/>
  <c r="K313" i="55"/>
  <c r="K309" i="55"/>
  <c r="K302" i="55"/>
  <c r="K286" i="55"/>
  <c r="K282" i="55"/>
  <c r="K278" i="55"/>
  <c r="K341" i="55"/>
  <c r="K22" i="55"/>
  <c r="K307" i="55"/>
  <c r="K300" i="55"/>
  <c r="K276" i="55"/>
  <c r="K71" i="55"/>
  <c r="K64" i="55"/>
  <c r="K50" i="55"/>
  <c r="K46" i="55"/>
  <c r="K42" i="55"/>
  <c r="K36" i="55"/>
  <c r="K281" i="55"/>
  <c r="K306" i="55"/>
  <c r="K275" i="55"/>
  <c r="K70" i="55"/>
  <c r="K63" i="55"/>
  <c r="K53" i="55"/>
  <c r="K61" i="55"/>
  <c r="K49" i="55"/>
  <c r="K45" i="55"/>
  <c r="K21" i="55"/>
  <c r="K322" i="55"/>
  <c r="K311" i="55"/>
  <c r="K284" i="55"/>
  <c r="K280" i="55"/>
  <c r="K305" i="55"/>
  <c r="K274" i="55"/>
  <c r="K73" i="55"/>
  <c r="K62" i="55"/>
  <c r="K52" i="55"/>
  <c r="K78" i="55"/>
  <c r="K69" i="55"/>
  <c r="K48" i="55"/>
  <c r="K44" i="55"/>
  <c r="K292" i="55"/>
  <c r="K273" i="55"/>
  <c r="K310" i="55"/>
  <c r="K287" i="55"/>
  <c r="K283" i="55"/>
  <c r="K279" i="55"/>
  <c r="K23" i="55"/>
  <c r="K317" i="55"/>
  <c r="K277" i="55"/>
  <c r="K264" i="55"/>
  <c r="K338" i="55"/>
  <c r="K67" i="55"/>
  <c r="K72" i="55"/>
  <c r="K65" i="55"/>
  <c r="K51" i="55"/>
  <c r="K68" i="55"/>
  <c r="B1612" i="34"/>
  <c r="B38" i="34"/>
  <c r="B1897" i="34"/>
  <c r="B1864" i="34"/>
  <c r="B1947" i="34"/>
  <c r="U38" i="34" l="1"/>
  <c r="Z38" i="34"/>
  <c r="A38" i="34"/>
  <c r="U1947" i="34"/>
  <c r="Z1947" i="34"/>
  <c r="A1947" i="34"/>
  <c r="U1612" i="34"/>
  <c r="Z1612" i="34"/>
  <c r="A1612" i="34"/>
  <c r="U1864" i="34"/>
  <c r="Z1864" i="34"/>
  <c r="A1864" i="34"/>
  <c r="U1897" i="34"/>
  <c r="Z1897" i="34"/>
  <c r="A1897" i="34"/>
  <c r="B1702" i="34"/>
  <c r="U1702" i="34" l="1"/>
  <c r="Z1702" i="34"/>
  <c r="A1702" i="34"/>
  <c r="B2666" i="34"/>
  <c r="B2668" i="34"/>
  <c r="B2669" i="34"/>
  <c r="B2671" i="34"/>
  <c r="B2672" i="34"/>
  <c r="B2673" i="34"/>
  <c r="B2674" i="34"/>
  <c r="B2675" i="34"/>
  <c r="B2676" i="34"/>
  <c r="B2677" i="34"/>
  <c r="B2679" i="34"/>
  <c r="B2680" i="34"/>
  <c r="B2681" i="34"/>
  <c r="B2682" i="34"/>
  <c r="B2683" i="34"/>
  <c r="B2684" i="34"/>
  <c r="B2688" i="34"/>
  <c r="B2689" i="34"/>
  <c r="B2692" i="34"/>
  <c r="B2694" i="34"/>
  <c r="B2695" i="34"/>
  <c r="B2696" i="34"/>
  <c r="B2697" i="34"/>
  <c r="B2700" i="34"/>
  <c r="B2701" i="34"/>
  <c r="B2702" i="34"/>
  <c r="B2703" i="34"/>
  <c r="B2704" i="34"/>
  <c r="B2705" i="34"/>
  <c r="B2707" i="34"/>
  <c r="B2708" i="34"/>
  <c r="B2709" i="34"/>
  <c r="B2710" i="34"/>
  <c r="B2711" i="34"/>
  <c r="B2712" i="34"/>
  <c r="B2715" i="34"/>
  <c r="B2716" i="34"/>
  <c r="B2717" i="34"/>
  <c r="B2718" i="34"/>
  <c r="B2720" i="34"/>
  <c r="B2721" i="34"/>
  <c r="B2723" i="34"/>
  <c r="B2724" i="34"/>
  <c r="B2726" i="34"/>
  <c r="B2728" i="34"/>
  <c r="B2729" i="34"/>
  <c r="B2731" i="34"/>
  <c r="B2732" i="34"/>
  <c r="B2733" i="34"/>
  <c r="B2734" i="34"/>
  <c r="B2735" i="34"/>
  <c r="B2736" i="34"/>
  <c r="B2737" i="34"/>
  <c r="B2739" i="34"/>
  <c r="B2740" i="34"/>
  <c r="B2741" i="34"/>
  <c r="B2742" i="34"/>
  <c r="B2743" i="34"/>
  <c r="B2744" i="34"/>
  <c r="B2748" i="34"/>
  <c r="B2749" i="34"/>
  <c r="B2750" i="34"/>
  <c r="B2751" i="34"/>
  <c r="B2753" i="34"/>
  <c r="B2752" i="34"/>
  <c r="B2755" i="34"/>
  <c r="B2756" i="34"/>
  <c r="B2757" i="34"/>
  <c r="B2758" i="34"/>
  <c r="B2759" i="34"/>
  <c r="B2760" i="34"/>
  <c r="B276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0" i="34"/>
  <c r="B2109" i="34"/>
  <c r="B2118" i="34"/>
  <c r="B2117" i="34"/>
  <c r="B2212" i="34"/>
  <c r="B2211" i="34"/>
  <c r="B2210" i="34"/>
  <c r="B2116" i="34"/>
  <c r="B2115" i="34"/>
  <c r="B2114" i="34"/>
  <c r="B2113" i="34"/>
  <c r="B2112" i="34"/>
  <c r="B2111" i="34"/>
  <c r="B2108" i="34"/>
  <c r="B2107" i="34"/>
  <c r="B2687" i="34"/>
  <c r="B2686" i="34"/>
  <c r="B2685" i="34"/>
  <c r="B2678" i="34"/>
  <c r="B2670" i="34"/>
  <c r="B2667" i="34"/>
  <c r="B2665" i="34"/>
  <c r="B2663" i="34"/>
  <c r="B2664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754" i="34"/>
  <c r="B2747" i="34"/>
  <c r="B2746" i="34"/>
  <c r="B2745" i="34"/>
  <c r="B2738" i="34"/>
  <c r="B2730" i="34"/>
  <c r="B2727" i="34"/>
  <c r="B2725" i="34"/>
  <c r="B2722" i="34"/>
  <c r="B2719" i="34"/>
  <c r="B2714" i="34"/>
  <c r="B2713" i="34"/>
  <c r="B2706" i="34"/>
  <c r="B2699" i="34"/>
  <c r="B2698" i="34"/>
  <c r="B2693" i="34"/>
  <c r="B2691" i="34"/>
  <c r="B269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510" i="34"/>
  <c r="B2511" i="34"/>
  <c r="B2512" i="34"/>
  <c r="B2513" i="34"/>
  <c r="B2514" i="34"/>
  <c r="B2516" i="34"/>
  <c r="B2517" i="34"/>
  <c r="B2518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555" i="34"/>
  <c r="B2556" i="34"/>
  <c r="B2465" i="34"/>
  <c r="B2557" i="34"/>
  <c r="B2558" i="34"/>
  <c r="B2559" i="34"/>
  <c r="B2560" i="34"/>
  <c r="B2561" i="34"/>
  <c r="B2562" i="34"/>
  <c r="B2563" i="34"/>
  <c r="B2564" i="34"/>
  <c r="B2565" i="34"/>
  <c r="B2566" i="34"/>
  <c r="B2567" i="34"/>
  <c r="B2568" i="34"/>
  <c r="B2570" i="34"/>
  <c r="B2571" i="34"/>
  <c r="B2572" i="34"/>
  <c r="B2573" i="34"/>
  <c r="B2574" i="34"/>
  <c r="B2575" i="34"/>
  <c r="B2576" i="34"/>
  <c r="B2577" i="34"/>
  <c r="B2578" i="34"/>
  <c r="B2579" i="34"/>
  <c r="B2580" i="34"/>
  <c r="B2581" i="34"/>
  <c r="B2582" i="34"/>
  <c r="B2583" i="34"/>
  <c r="B2584" i="34"/>
  <c r="B2585" i="34"/>
  <c r="B2586" i="34"/>
  <c r="B2587" i="34"/>
  <c r="B2589" i="34"/>
  <c r="B2590" i="34"/>
  <c r="B2591" i="34"/>
  <c r="B2592" i="34"/>
  <c r="B2593" i="34"/>
  <c r="B2594" i="34"/>
  <c r="B2595" i="34"/>
  <c r="B2596" i="34"/>
  <c r="B2597" i="34"/>
  <c r="B2598" i="34"/>
  <c r="B2599" i="34"/>
  <c r="B2600" i="34"/>
  <c r="B2601" i="34"/>
  <c r="B2602" i="34"/>
  <c r="B2603" i="34"/>
  <c r="B2604" i="34"/>
  <c r="B2605" i="34"/>
  <c r="B2606" i="34"/>
  <c r="B2607" i="34"/>
  <c r="B2608" i="34"/>
  <c r="B2609" i="34"/>
  <c r="B2610" i="34"/>
  <c r="B2611" i="34"/>
  <c r="B2612" i="34"/>
  <c r="B2613" i="34"/>
  <c r="B2614" i="34"/>
  <c r="B2615" i="34"/>
  <c r="B2617" i="34"/>
  <c r="B2618" i="34"/>
  <c r="B2619" i="34"/>
  <c r="B2620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637" i="34"/>
  <c r="B2638" i="34"/>
  <c r="B2639" i="34"/>
  <c r="B2640" i="34"/>
  <c r="B2641" i="34"/>
  <c r="B2466" i="34"/>
  <c r="B2515" i="34"/>
  <c r="B2588" i="34"/>
  <c r="B2616" i="34"/>
  <c r="A460" i="60"/>
  <c r="U2515" i="34" l="1"/>
  <c r="Z2515" i="34"/>
  <c r="A2515" i="34"/>
  <c r="U2639" i="34"/>
  <c r="Z2639" i="34"/>
  <c r="A2639" i="34"/>
  <c r="U2635" i="34"/>
  <c r="Z2635" i="34"/>
  <c r="A2635" i="34"/>
  <c r="U2631" i="34"/>
  <c r="Z2631" i="34"/>
  <c r="A2631" i="34"/>
  <c r="U2627" i="34"/>
  <c r="Z2627" i="34"/>
  <c r="A2627" i="34"/>
  <c r="U2623" i="34"/>
  <c r="Z2623" i="34"/>
  <c r="A2623" i="34"/>
  <c r="U2619" i="34"/>
  <c r="Z2619" i="34"/>
  <c r="A2619" i="34"/>
  <c r="U2614" i="34"/>
  <c r="Z2614" i="34"/>
  <c r="A2614" i="34"/>
  <c r="U2610" i="34"/>
  <c r="Z2610" i="34"/>
  <c r="A2610" i="34"/>
  <c r="U2606" i="34"/>
  <c r="Z2606" i="34"/>
  <c r="A2606" i="34"/>
  <c r="U2602" i="34"/>
  <c r="Z2602" i="34"/>
  <c r="A2602" i="34"/>
  <c r="U2598" i="34"/>
  <c r="Z2598" i="34"/>
  <c r="A2598" i="34"/>
  <c r="U2594" i="34"/>
  <c r="Z2594" i="34"/>
  <c r="A2594" i="34"/>
  <c r="U2590" i="34"/>
  <c r="Z2590" i="34"/>
  <c r="A2590" i="34"/>
  <c r="U2585" i="34"/>
  <c r="Z2585" i="34"/>
  <c r="A2585" i="34"/>
  <c r="U2581" i="34"/>
  <c r="Z2581" i="34"/>
  <c r="A2581" i="34"/>
  <c r="U2577" i="34"/>
  <c r="Z2577" i="34"/>
  <c r="A2577" i="34"/>
  <c r="U2573" i="34"/>
  <c r="Z2573" i="34"/>
  <c r="A2573" i="34"/>
  <c r="U2568" i="34"/>
  <c r="Z2568" i="34"/>
  <c r="A2568" i="34"/>
  <c r="U2564" i="34"/>
  <c r="Z2564" i="34"/>
  <c r="A2564" i="34"/>
  <c r="U2560" i="34"/>
  <c r="Z2560" i="34"/>
  <c r="A2560" i="34"/>
  <c r="U2465" i="34"/>
  <c r="Z2465" i="34"/>
  <c r="A2465" i="34"/>
  <c r="U2553" i="34"/>
  <c r="Z2553" i="34"/>
  <c r="A2553" i="34"/>
  <c r="U2549" i="34"/>
  <c r="Z2549" i="34"/>
  <c r="A2549" i="34"/>
  <c r="U2545" i="34"/>
  <c r="Z2545" i="34"/>
  <c r="A2545" i="34"/>
  <c r="U2541" i="34"/>
  <c r="Z2541" i="34"/>
  <c r="A2541" i="34"/>
  <c r="U2537" i="34"/>
  <c r="Z2537" i="34"/>
  <c r="A2537" i="34"/>
  <c r="U2533" i="34"/>
  <c r="Z2533" i="34"/>
  <c r="A2533" i="34"/>
  <c r="U2529" i="34"/>
  <c r="Z2529" i="34"/>
  <c r="A2529" i="34"/>
  <c r="U2525" i="34"/>
  <c r="Z2525" i="34"/>
  <c r="A2525" i="34"/>
  <c r="U2521" i="34"/>
  <c r="Z2521" i="34"/>
  <c r="A2521" i="34"/>
  <c r="U2517" i="34"/>
  <c r="Z2517" i="34"/>
  <c r="A2517" i="34"/>
  <c r="U2512" i="34"/>
  <c r="Z2512" i="34"/>
  <c r="A2512" i="34"/>
  <c r="U2508" i="34"/>
  <c r="Z2508" i="34"/>
  <c r="A2508" i="34"/>
  <c r="U2504" i="34"/>
  <c r="Z2504" i="34"/>
  <c r="A2504" i="34"/>
  <c r="U2500" i="34"/>
  <c r="Z2500" i="34"/>
  <c r="A2500" i="34"/>
  <c r="U2496" i="34"/>
  <c r="Z2496" i="34"/>
  <c r="A2496" i="34"/>
  <c r="U2492" i="34"/>
  <c r="Z2492" i="34"/>
  <c r="A2492" i="34"/>
  <c r="U2488" i="34"/>
  <c r="Z2488" i="34"/>
  <c r="A2488" i="34"/>
  <c r="U2484" i="34"/>
  <c r="Z2484" i="34"/>
  <c r="A2484" i="34"/>
  <c r="U2480" i="34"/>
  <c r="Z2480" i="34"/>
  <c r="A2480" i="34"/>
  <c r="U2476" i="34"/>
  <c r="Z2476" i="34"/>
  <c r="A2476" i="34"/>
  <c r="U2472" i="34"/>
  <c r="Z2472" i="34"/>
  <c r="A2472" i="34"/>
  <c r="U2468" i="34"/>
  <c r="Z2468" i="34"/>
  <c r="A2468" i="34"/>
  <c r="U2764" i="34"/>
  <c r="Z2764" i="34"/>
  <c r="U2768" i="34"/>
  <c r="Z2768" i="34"/>
  <c r="U2772" i="34"/>
  <c r="Z2772" i="34"/>
  <c r="U2776" i="34"/>
  <c r="Z2776" i="34"/>
  <c r="U2780" i="34"/>
  <c r="Z2780" i="34"/>
  <c r="U2784" i="34"/>
  <c r="Z2784" i="34"/>
  <c r="U2788" i="34"/>
  <c r="Z2788" i="34"/>
  <c r="U2792" i="34"/>
  <c r="Z2792" i="34"/>
  <c r="U2796" i="34"/>
  <c r="Z2796" i="34"/>
  <c r="U2690" i="34"/>
  <c r="Z2690" i="34"/>
  <c r="A2690" i="34"/>
  <c r="U2699" i="34"/>
  <c r="Z2699" i="34"/>
  <c r="A2699" i="34"/>
  <c r="U2719" i="34"/>
  <c r="Z2719" i="34"/>
  <c r="U2730" i="34"/>
  <c r="Z2730" i="34"/>
  <c r="U2747" i="34"/>
  <c r="Z2747" i="34"/>
  <c r="U2173" i="34"/>
  <c r="Z2173" i="34"/>
  <c r="A2173" i="34"/>
  <c r="U2177" i="34"/>
  <c r="Z2177" i="34"/>
  <c r="A2177" i="34"/>
  <c r="U2181" i="34"/>
  <c r="Z2181" i="34"/>
  <c r="A2181" i="34"/>
  <c r="U2185" i="34"/>
  <c r="Z2185" i="34"/>
  <c r="A2185" i="34"/>
  <c r="U2189" i="34"/>
  <c r="Z2189" i="34"/>
  <c r="A2189" i="34"/>
  <c r="U2193" i="34"/>
  <c r="Z2193" i="34"/>
  <c r="A2193" i="34"/>
  <c r="U2197" i="34"/>
  <c r="Z2197" i="34"/>
  <c r="A2197" i="34"/>
  <c r="U2201" i="34"/>
  <c r="Z2201" i="34"/>
  <c r="A2201" i="34"/>
  <c r="U2205" i="34"/>
  <c r="Z2205" i="34"/>
  <c r="A2205" i="34"/>
  <c r="U2665" i="34"/>
  <c r="Z2665" i="34"/>
  <c r="A2665" i="34"/>
  <c r="U2685" i="34"/>
  <c r="Z2685" i="34"/>
  <c r="A2685" i="34"/>
  <c r="U2108" i="34"/>
  <c r="Z2108" i="34"/>
  <c r="A2108" i="34"/>
  <c r="U2114" i="34"/>
  <c r="Z2114" i="34"/>
  <c r="A2114" i="34"/>
  <c r="U2211" i="34"/>
  <c r="Z2211" i="34"/>
  <c r="A2211" i="34"/>
  <c r="U2109" i="34"/>
  <c r="Z2109" i="34"/>
  <c r="A2109" i="34"/>
  <c r="U2121" i="34"/>
  <c r="Z2121" i="34"/>
  <c r="A2121" i="34"/>
  <c r="U2125" i="34"/>
  <c r="Z2125" i="34"/>
  <c r="A2125" i="34"/>
  <c r="U2129" i="34"/>
  <c r="Z2129" i="34"/>
  <c r="A2129" i="34"/>
  <c r="U2133" i="34"/>
  <c r="Z2133" i="34"/>
  <c r="A2133" i="34"/>
  <c r="U2137" i="34"/>
  <c r="Z2137" i="34"/>
  <c r="A2137" i="34"/>
  <c r="U2141" i="34"/>
  <c r="Z2141" i="34"/>
  <c r="A2141" i="34"/>
  <c r="U2145" i="34"/>
  <c r="Z2145" i="34"/>
  <c r="A2145" i="34"/>
  <c r="U2149" i="34"/>
  <c r="Z2149" i="34"/>
  <c r="A2149" i="34"/>
  <c r="U2153" i="34"/>
  <c r="Z2153" i="34"/>
  <c r="A2153" i="34"/>
  <c r="U2157" i="34"/>
  <c r="Z2157" i="34"/>
  <c r="A2157" i="34"/>
  <c r="U2161" i="34"/>
  <c r="Z2161" i="34"/>
  <c r="A2161" i="34"/>
  <c r="U2165" i="34"/>
  <c r="Z2165" i="34"/>
  <c r="A2165" i="34"/>
  <c r="U2169" i="34"/>
  <c r="Z2169" i="34"/>
  <c r="A2169" i="34"/>
  <c r="U2759" i="34"/>
  <c r="Z2759" i="34"/>
  <c r="U2755" i="34"/>
  <c r="Z2755" i="34"/>
  <c r="U2750" i="34"/>
  <c r="Z2750" i="34"/>
  <c r="U2743" i="34"/>
  <c r="Z2743" i="34"/>
  <c r="U2739" i="34"/>
  <c r="Z2739" i="34"/>
  <c r="U2734" i="34"/>
  <c r="Z2734" i="34"/>
  <c r="U2729" i="34"/>
  <c r="Z2729" i="34"/>
  <c r="U2723" i="34"/>
  <c r="Z2723" i="34"/>
  <c r="U2717" i="34"/>
  <c r="Z2717" i="34"/>
  <c r="U2711" i="34"/>
  <c r="Z2711" i="34"/>
  <c r="A2711" i="34"/>
  <c r="U2707" i="34"/>
  <c r="Z2707" i="34"/>
  <c r="A2707" i="34"/>
  <c r="U2702" i="34"/>
  <c r="Z2702" i="34"/>
  <c r="A2702" i="34"/>
  <c r="U2696" i="34"/>
  <c r="Z2696" i="34"/>
  <c r="A2696" i="34"/>
  <c r="U2689" i="34"/>
  <c r="Z2689" i="34"/>
  <c r="A2689" i="34"/>
  <c r="U2682" i="34"/>
  <c r="Z2682" i="34"/>
  <c r="A2682" i="34"/>
  <c r="U2677" i="34"/>
  <c r="Z2677" i="34"/>
  <c r="A2677" i="34"/>
  <c r="U2673" i="34"/>
  <c r="Z2673" i="34"/>
  <c r="A2673" i="34"/>
  <c r="U2668" i="34"/>
  <c r="Z2668" i="34"/>
  <c r="A2668" i="34"/>
  <c r="U2466" i="34"/>
  <c r="Z2466" i="34"/>
  <c r="A2466" i="34"/>
  <c r="U2638" i="34"/>
  <c r="Z2638" i="34"/>
  <c r="A2638" i="34"/>
  <c r="U2634" i="34"/>
  <c r="Z2634" i="34"/>
  <c r="A2634" i="34"/>
  <c r="U2630" i="34"/>
  <c r="Z2630" i="34"/>
  <c r="A2630" i="34"/>
  <c r="U2626" i="34"/>
  <c r="Z2626" i="34"/>
  <c r="A2626" i="34"/>
  <c r="U2622" i="34"/>
  <c r="Z2622" i="34"/>
  <c r="A2622" i="34"/>
  <c r="U2618" i="34"/>
  <c r="Z2618" i="34"/>
  <c r="A2618" i="34"/>
  <c r="U2613" i="34"/>
  <c r="Z2613" i="34"/>
  <c r="A2613" i="34"/>
  <c r="U2609" i="34"/>
  <c r="Z2609" i="34"/>
  <c r="A2609" i="34"/>
  <c r="U2605" i="34"/>
  <c r="Z2605" i="34"/>
  <c r="A2605" i="34"/>
  <c r="U2601" i="34"/>
  <c r="Z2601" i="34"/>
  <c r="A2601" i="34"/>
  <c r="U2597" i="34"/>
  <c r="Z2597" i="34"/>
  <c r="A2597" i="34"/>
  <c r="U2593" i="34"/>
  <c r="Z2593" i="34"/>
  <c r="A2593" i="34"/>
  <c r="U2589" i="34"/>
  <c r="Z2589" i="34"/>
  <c r="A2589" i="34"/>
  <c r="U2584" i="34"/>
  <c r="Z2584" i="34"/>
  <c r="A2584" i="34"/>
  <c r="U2580" i="34"/>
  <c r="Z2580" i="34"/>
  <c r="A2580" i="34"/>
  <c r="U2576" i="34"/>
  <c r="Z2576" i="34"/>
  <c r="A2576" i="34"/>
  <c r="U2572" i="34"/>
  <c r="Z2572" i="34"/>
  <c r="A2572" i="34"/>
  <c r="U2567" i="34"/>
  <c r="Z2567" i="34"/>
  <c r="A2567" i="34"/>
  <c r="U2563" i="34"/>
  <c r="Z2563" i="34"/>
  <c r="A2563" i="34"/>
  <c r="U2559" i="34"/>
  <c r="Z2559" i="34"/>
  <c r="A2559" i="34"/>
  <c r="U2556" i="34"/>
  <c r="Z2556" i="34"/>
  <c r="A2556" i="34"/>
  <c r="U2552" i="34"/>
  <c r="Z2552" i="34"/>
  <c r="A2552" i="34"/>
  <c r="U2548" i="34"/>
  <c r="Z2548" i="34"/>
  <c r="A2548" i="34"/>
  <c r="U2544" i="34"/>
  <c r="Z2544" i="34"/>
  <c r="A2544" i="34"/>
  <c r="U2540" i="34"/>
  <c r="Z2540" i="34"/>
  <c r="A2540" i="34"/>
  <c r="U2536" i="34"/>
  <c r="Z2536" i="34"/>
  <c r="A2536" i="34"/>
  <c r="U2532" i="34"/>
  <c r="Z2532" i="34"/>
  <c r="A2532" i="34"/>
  <c r="U2528" i="34"/>
  <c r="Z2528" i="34"/>
  <c r="A2528" i="34"/>
  <c r="U2524" i="34"/>
  <c r="Z2524" i="34"/>
  <c r="A2524" i="34"/>
  <c r="U2520" i="34"/>
  <c r="Z2520" i="34"/>
  <c r="A2520" i="34"/>
  <c r="U2516" i="34"/>
  <c r="Z2516" i="34"/>
  <c r="A2516" i="34"/>
  <c r="U2511" i="34"/>
  <c r="Z2511" i="34"/>
  <c r="A2511" i="34"/>
  <c r="U2507" i="34"/>
  <c r="Z2507" i="34"/>
  <c r="A2507" i="34"/>
  <c r="U2503" i="34"/>
  <c r="Z2503" i="34"/>
  <c r="A2503" i="34"/>
  <c r="U2499" i="34"/>
  <c r="Z2499" i="34"/>
  <c r="A2499" i="34"/>
  <c r="U2495" i="34"/>
  <c r="Z2495" i="34"/>
  <c r="A2495" i="34"/>
  <c r="U2491" i="34"/>
  <c r="Z2491" i="34"/>
  <c r="A2491" i="34"/>
  <c r="U2487" i="34"/>
  <c r="Z2487" i="34"/>
  <c r="A2487" i="34"/>
  <c r="U2483" i="34"/>
  <c r="Z2483" i="34"/>
  <c r="A2483" i="34"/>
  <c r="U2479" i="34"/>
  <c r="Z2479" i="34"/>
  <c r="A2479" i="34"/>
  <c r="U2475" i="34"/>
  <c r="Z2475" i="34"/>
  <c r="A2475" i="34"/>
  <c r="U2471" i="34"/>
  <c r="Z2471" i="34"/>
  <c r="A2471" i="34"/>
  <c r="U2467" i="34"/>
  <c r="Z2467" i="34"/>
  <c r="A2467" i="34"/>
  <c r="U2765" i="34"/>
  <c r="Z2765" i="34"/>
  <c r="U2769" i="34"/>
  <c r="Z2769" i="34"/>
  <c r="U2773" i="34"/>
  <c r="Z2773" i="34"/>
  <c r="U2777" i="34"/>
  <c r="Z2777" i="34"/>
  <c r="U2781" i="34"/>
  <c r="Z2781" i="34"/>
  <c r="U2785" i="34"/>
  <c r="Z2785" i="34"/>
  <c r="U2789" i="34"/>
  <c r="Z2789" i="34"/>
  <c r="U2793" i="34"/>
  <c r="Z2793" i="34"/>
  <c r="U2797" i="34"/>
  <c r="Z2797" i="34"/>
  <c r="U2691" i="34"/>
  <c r="Z2691" i="34"/>
  <c r="A2691" i="34"/>
  <c r="U2706" i="34"/>
  <c r="Z2706" i="34"/>
  <c r="A2706" i="34"/>
  <c r="U2722" i="34"/>
  <c r="Z2722" i="34"/>
  <c r="U2738" i="34"/>
  <c r="Z2738" i="34"/>
  <c r="U2754" i="34"/>
  <c r="Z2754" i="34"/>
  <c r="U2174" i="34"/>
  <c r="Z2174" i="34"/>
  <c r="A2174" i="34"/>
  <c r="U2178" i="34"/>
  <c r="Z2178" i="34"/>
  <c r="A2178" i="34"/>
  <c r="U2182" i="34"/>
  <c r="Z2182" i="34"/>
  <c r="A2182" i="34"/>
  <c r="U2186" i="34"/>
  <c r="Z2186" i="34"/>
  <c r="A2186" i="34"/>
  <c r="U2190" i="34"/>
  <c r="Z2190" i="34"/>
  <c r="A2190" i="34"/>
  <c r="U2194" i="34"/>
  <c r="Z2194" i="34"/>
  <c r="A2194" i="34"/>
  <c r="U2198" i="34"/>
  <c r="Z2198" i="34"/>
  <c r="A2198" i="34"/>
  <c r="U2202" i="34"/>
  <c r="Z2202" i="34"/>
  <c r="A2202" i="34"/>
  <c r="U2206" i="34"/>
  <c r="Z2206" i="34"/>
  <c r="A2206" i="34"/>
  <c r="U2667" i="34"/>
  <c r="Z2667" i="34"/>
  <c r="A2667" i="34"/>
  <c r="U2686" i="34"/>
  <c r="Z2686" i="34"/>
  <c r="A2686" i="34"/>
  <c r="U2111" i="34"/>
  <c r="Z2111" i="34"/>
  <c r="A2111" i="34"/>
  <c r="U2115" i="34"/>
  <c r="Z2115" i="34"/>
  <c r="A2115" i="34"/>
  <c r="U2212" i="34"/>
  <c r="Z2212" i="34"/>
  <c r="A2212" i="34"/>
  <c r="U2110" i="34"/>
  <c r="Z2110" i="34"/>
  <c r="A2110" i="34"/>
  <c r="U2122" i="34"/>
  <c r="Z2122" i="34"/>
  <c r="A2122" i="34"/>
  <c r="U2126" i="34"/>
  <c r="Z2126" i="34"/>
  <c r="A2126" i="34"/>
  <c r="U2130" i="34"/>
  <c r="Z2130" i="34"/>
  <c r="A2130" i="34"/>
  <c r="U2134" i="34"/>
  <c r="Z2134" i="34"/>
  <c r="A2134" i="34"/>
  <c r="U2138" i="34"/>
  <c r="Z2138" i="34"/>
  <c r="A2138" i="34"/>
  <c r="U2142" i="34"/>
  <c r="Z2142" i="34"/>
  <c r="A2142" i="34"/>
  <c r="U2146" i="34"/>
  <c r="Z2146" i="34"/>
  <c r="A2146" i="34"/>
  <c r="U2150" i="34"/>
  <c r="Z2150" i="34"/>
  <c r="A2150" i="34"/>
  <c r="U2154" i="34"/>
  <c r="Z2154" i="34"/>
  <c r="A2154" i="34"/>
  <c r="U2158" i="34"/>
  <c r="Z2158" i="34"/>
  <c r="A2158" i="34"/>
  <c r="U2162" i="34"/>
  <c r="Z2162" i="34"/>
  <c r="A2162" i="34"/>
  <c r="U2166" i="34"/>
  <c r="Z2166" i="34"/>
  <c r="A2166" i="34"/>
  <c r="U2170" i="34"/>
  <c r="Z2170" i="34"/>
  <c r="A2170" i="34"/>
  <c r="U2758" i="34"/>
  <c r="Z2758" i="34"/>
  <c r="U2752" i="34"/>
  <c r="Z2752" i="34"/>
  <c r="U2749" i="34"/>
  <c r="Z2749" i="34"/>
  <c r="U2742" i="34"/>
  <c r="Z2742" i="34"/>
  <c r="U2737" i="34"/>
  <c r="Z2737" i="34"/>
  <c r="U2733" i="34"/>
  <c r="Z2733" i="34"/>
  <c r="U2728" i="34"/>
  <c r="Z2728" i="34"/>
  <c r="U2721" i="34"/>
  <c r="Z2721" i="34"/>
  <c r="U2716" i="34"/>
  <c r="Z2716" i="34"/>
  <c r="U2710" i="34"/>
  <c r="Z2710" i="34"/>
  <c r="A2710" i="34"/>
  <c r="U2705" i="34"/>
  <c r="Z2705" i="34"/>
  <c r="A2705" i="34"/>
  <c r="U2701" i="34"/>
  <c r="Z2701" i="34"/>
  <c r="A2701" i="34"/>
  <c r="U2695" i="34"/>
  <c r="Z2695" i="34"/>
  <c r="A2695" i="34"/>
  <c r="U2688" i="34"/>
  <c r="Z2688" i="34"/>
  <c r="A2688" i="34"/>
  <c r="U2681" i="34"/>
  <c r="Z2681" i="34"/>
  <c r="A2681" i="34"/>
  <c r="U2676" i="34"/>
  <c r="Z2676" i="34"/>
  <c r="A2676" i="34"/>
  <c r="U2672" i="34"/>
  <c r="Z2672" i="34"/>
  <c r="A2672" i="34"/>
  <c r="U2666" i="34"/>
  <c r="Z2666" i="34"/>
  <c r="A2666" i="34"/>
  <c r="U2616" i="34"/>
  <c r="Z2616" i="34"/>
  <c r="A2616" i="34"/>
  <c r="U2641" i="34"/>
  <c r="Z2641" i="34"/>
  <c r="A2641" i="34"/>
  <c r="U2637" i="34"/>
  <c r="Z2637" i="34"/>
  <c r="A2637" i="34"/>
  <c r="U2633" i="34"/>
  <c r="Z2633" i="34"/>
  <c r="A2633" i="34"/>
  <c r="U2629" i="34"/>
  <c r="Z2629" i="34"/>
  <c r="A2629" i="34"/>
  <c r="U2625" i="34"/>
  <c r="Z2625" i="34"/>
  <c r="A2625" i="34"/>
  <c r="U2621" i="34"/>
  <c r="Z2621" i="34"/>
  <c r="A2621" i="34"/>
  <c r="U2617" i="34"/>
  <c r="Z2617" i="34"/>
  <c r="A2617" i="34"/>
  <c r="U2612" i="34"/>
  <c r="Z2612" i="34"/>
  <c r="A2612" i="34"/>
  <c r="U2608" i="34"/>
  <c r="Z2608" i="34"/>
  <c r="A2608" i="34"/>
  <c r="U2604" i="34"/>
  <c r="Z2604" i="34"/>
  <c r="A2604" i="34"/>
  <c r="U2600" i="34"/>
  <c r="Z2600" i="34"/>
  <c r="A2600" i="34"/>
  <c r="U2596" i="34"/>
  <c r="Z2596" i="34"/>
  <c r="A2596" i="34"/>
  <c r="U2592" i="34"/>
  <c r="Z2592" i="34"/>
  <c r="A2592" i="34"/>
  <c r="U2587" i="34"/>
  <c r="Z2587" i="34"/>
  <c r="A2587" i="34"/>
  <c r="U2583" i="34"/>
  <c r="Z2583" i="34"/>
  <c r="A2583" i="34"/>
  <c r="U2579" i="34"/>
  <c r="Z2579" i="34"/>
  <c r="A2579" i="34"/>
  <c r="U2575" i="34"/>
  <c r="Z2575" i="34"/>
  <c r="A2575" i="34"/>
  <c r="U2571" i="34"/>
  <c r="Z2571" i="34"/>
  <c r="A2571" i="34"/>
  <c r="U2566" i="34"/>
  <c r="Z2566" i="34"/>
  <c r="A2566" i="34"/>
  <c r="U2562" i="34"/>
  <c r="Z2562" i="34"/>
  <c r="A2562" i="34"/>
  <c r="U2558" i="34"/>
  <c r="Z2558" i="34"/>
  <c r="A2558" i="34"/>
  <c r="U2555" i="34"/>
  <c r="Z2555" i="34"/>
  <c r="A2555" i="34"/>
  <c r="U2551" i="34"/>
  <c r="Z2551" i="34"/>
  <c r="A2551" i="34"/>
  <c r="U2547" i="34"/>
  <c r="Z2547" i="34"/>
  <c r="A2547" i="34"/>
  <c r="U2543" i="34"/>
  <c r="Z2543" i="34"/>
  <c r="A2543" i="34"/>
  <c r="U2539" i="34"/>
  <c r="Z2539" i="34"/>
  <c r="A2539" i="34"/>
  <c r="U2535" i="34"/>
  <c r="Z2535" i="34"/>
  <c r="A2535" i="34"/>
  <c r="U2531" i="34"/>
  <c r="Z2531" i="34"/>
  <c r="A2531" i="34"/>
  <c r="U2527" i="34"/>
  <c r="Z2527" i="34"/>
  <c r="A2527" i="34"/>
  <c r="U2523" i="34"/>
  <c r="Z2523" i="34"/>
  <c r="A2523" i="34"/>
  <c r="U2519" i="34"/>
  <c r="Z2519" i="34"/>
  <c r="A2519" i="34"/>
  <c r="U2514" i="34"/>
  <c r="Z2514" i="34"/>
  <c r="A2514" i="34"/>
  <c r="U2510" i="34"/>
  <c r="Z2510" i="34"/>
  <c r="A2510" i="34"/>
  <c r="U2506" i="34"/>
  <c r="Z2506" i="34"/>
  <c r="A2506" i="34"/>
  <c r="U2502" i="34"/>
  <c r="Z2502" i="34"/>
  <c r="A2502" i="34"/>
  <c r="U2498" i="34"/>
  <c r="Z2498" i="34"/>
  <c r="A2498" i="34"/>
  <c r="U2494" i="34"/>
  <c r="Z2494" i="34"/>
  <c r="A2494" i="34"/>
  <c r="U2490" i="34"/>
  <c r="Z2490" i="34"/>
  <c r="A2490" i="34"/>
  <c r="U2486" i="34"/>
  <c r="Z2486" i="34"/>
  <c r="A2486" i="34"/>
  <c r="U2482" i="34"/>
  <c r="Z2482" i="34"/>
  <c r="A2482" i="34"/>
  <c r="U2478" i="34"/>
  <c r="Z2478" i="34"/>
  <c r="A2478" i="34"/>
  <c r="U2474" i="34"/>
  <c r="Z2474" i="34"/>
  <c r="A2474" i="34"/>
  <c r="U2470" i="34"/>
  <c r="Z2470" i="34"/>
  <c r="A2470" i="34"/>
  <c r="U2762" i="34"/>
  <c r="Z2762" i="34"/>
  <c r="U2766" i="34"/>
  <c r="Z2766" i="34"/>
  <c r="U2770" i="34"/>
  <c r="Z2770" i="34"/>
  <c r="U2774" i="34"/>
  <c r="Z2774" i="34"/>
  <c r="U2778" i="34"/>
  <c r="Z2778" i="34"/>
  <c r="U2782" i="34"/>
  <c r="Z2782" i="34"/>
  <c r="U2786" i="34"/>
  <c r="Z2786" i="34"/>
  <c r="U2790" i="34"/>
  <c r="Z2790" i="34"/>
  <c r="U2794" i="34"/>
  <c r="Z2794" i="34"/>
  <c r="U2798" i="34"/>
  <c r="Z2798" i="34"/>
  <c r="U2693" i="34"/>
  <c r="Z2693" i="34"/>
  <c r="A2693" i="34"/>
  <c r="U2713" i="34"/>
  <c r="Z2713" i="34"/>
  <c r="U2725" i="34"/>
  <c r="Z2725" i="34"/>
  <c r="U2745" i="34"/>
  <c r="Z2745" i="34"/>
  <c r="U2171" i="34"/>
  <c r="Z2171" i="34"/>
  <c r="A2171" i="34"/>
  <c r="U2175" i="34"/>
  <c r="Z2175" i="34"/>
  <c r="A2175" i="34"/>
  <c r="U2179" i="34"/>
  <c r="Z2179" i="34"/>
  <c r="A2179" i="34"/>
  <c r="U2183" i="34"/>
  <c r="Z2183" i="34"/>
  <c r="A2183" i="34"/>
  <c r="U2187" i="34"/>
  <c r="Z2187" i="34"/>
  <c r="A2187" i="34"/>
  <c r="U2191" i="34"/>
  <c r="Z2191" i="34"/>
  <c r="A2191" i="34"/>
  <c r="U2195" i="34"/>
  <c r="Z2195" i="34"/>
  <c r="A2195" i="34"/>
  <c r="U2199" i="34"/>
  <c r="Z2199" i="34"/>
  <c r="A2199" i="34"/>
  <c r="U2203" i="34"/>
  <c r="Z2203" i="34"/>
  <c r="A2203" i="34"/>
  <c r="U2664" i="34"/>
  <c r="Z2664" i="34"/>
  <c r="A2664" i="34"/>
  <c r="U2670" i="34"/>
  <c r="Z2670" i="34"/>
  <c r="A2670" i="34"/>
  <c r="U2687" i="34"/>
  <c r="Z2687" i="34"/>
  <c r="A2687" i="34"/>
  <c r="U2112" i="34"/>
  <c r="Z2112" i="34"/>
  <c r="A2112" i="34"/>
  <c r="U2116" i="34"/>
  <c r="Z2116" i="34"/>
  <c r="A2116" i="34"/>
  <c r="U2117" i="34"/>
  <c r="Z2117" i="34"/>
  <c r="A2117" i="34"/>
  <c r="U2119" i="34"/>
  <c r="Z2119" i="34"/>
  <c r="A2119" i="34"/>
  <c r="U2123" i="34"/>
  <c r="Z2123" i="34"/>
  <c r="A2123" i="34"/>
  <c r="U2127" i="34"/>
  <c r="Z2127" i="34"/>
  <c r="A2127" i="34"/>
  <c r="U2131" i="34"/>
  <c r="Z2131" i="34"/>
  <c r="A2131" i="34"/>
  <c r="U2135" i="34"/>
  <c r="Z2135" i="34"/>
  <c r="A2135" i="34"/>
  <c r="U2139" i="34"/>
  <c r="Z2139" i="34"/>
  <c r="A2139" i="34"/>
  <c r="U2143" i="34"/>
  <c r="Z2143" i="34"/>
  <c r="A2143" i="34"/>
  <c r="U2147" i="34"/>
  <c r="Z2147" i="34"/>
  <c r="A2147" i="34"/>
  <c r="U2151" i="34"/>
  <c r="Z2151" i="34"/>
  <c r="A2151" i="34"/>
  <c r="U2155" i="34"/>
  <c r="Z2155" i="34"/>
  <c r="A2155" i="34"/>
  <c r="U2159" i="34"/>
  <c r="Z2159" i="34"/>
  <c r="A2159" i="34"/>
  <c r="U2163" i="34"/>
  <c r="Z2163" i="34"/>
  <c r="A2163" i="34"/>
  <c r="U2167" i="34"/>
  <c r="Z2167" i="34"/>
  <c r="A2167" i="34"/>
  <c r="U2761" i="34"/>
  <c r="Z2761" i="34"/>
  <c r="U2757" i="34"/>
  <c r="Z2757" i="34"/>
  <c r="U2753" i="34"/>
  <c r="Z2753" i="34"/>
  <c r="U2748" i="34"/>
  <c r="Z2748" i="34"/>
  <c r="U2741" i="34"/>
  <c r="Z2741" i="34"/>
  <c r="U2736" i="34"/>
  <c r="Z2736" i="34"/>
  <c r="U2732" i="34"/>
  <c r="Z2732" i="34"/>
  <c r="U2726" i="34"/>
  <c r="Z2726" i="34"/>
  <c r="U2720" i="34"/>
  <c r="Z2720" i="34"/>
  <c r="U2715" i="34"/>
  <c r="Z2715" i="34"/>
  <c r="U2709" i="34"/>
  <c r="Z2709" i="34"/>
  <c r="A2709" i="34"/>
  <c r="U2704" i="34"/>
  <c r="Z2704" i="34"/>
  <c r="A2704" i="34"/>
  <c r="U2700" i="34"/>
  <c r="Z2700" i="34"/>
  <c r="A2700" i="34"/>
  <c r="U2694" i="34"/>
  <c r="Z2694" i="34"/>
  <c r="A2694" i="34"/>
  <c r="U2684" i="34"/>
  <c r="Z2684" i="34"/>
  <c r="A2684" i="34"/>
  <c r="U2680" i="34"/>
  <c r="Z2680" i="34"/>
  <c r="A2680" i="34"/>
  <c r="U2675" i="34"/>
  <c r="Z2675" i="34"/>
  <c r="A2675" i="34"/>
  <c r="U2671" i="34"/>
  <c r="Z2671" i="34"/>
  <c r="A2671" i="34"/>
  <c r="U2588" i="34"/>
  <c r="Z2588" i="34"/>
  <c r="A2588" i="34"/>
  <c r="U2640" i="34"/>
  <c r="Z2640" i="34"/>
  <c r="A2640" i="34"/>
  <c r="U2636" i="34"/>
  <c r="Z2636" i="34"/>
  <c r="A2636" i="34"/>
  <c r="U2632" i="34"/>
  <c r="Z2632" i="34"/>
  <c r="A2632" i="34"/>
  <c r="U2628" i="34"/>
  <c r="Z2628" i="34"/>
  <c r="A2628" i="34"/>
  <c r="U2624" i="34"/>
  <c r="Z2624" i="34"/>
  <c r="A2624" i="34"/>
  <c r="U2620" i="34"/>
  <c r="Z2620" i="34"/>
  <c r="A2620" i="34"/>
  <c r="U2615" i="34"/>
  <c r="Z2615" i="34"/>
  <c r="A2615" i="34"/>
  <c r="U2611" i="34"/>
  <c r="Z2611" i="34"/>
  <c r="A2611" i="34"/>
  <c r="U2607" i="34"/>
  <c r="Z2607" i="34"/>
  <c r="A2607" i="34"/>
  <c r="U2603" i="34"/>
  <c r="Z2603" i="34"/>
  <c r="A2603" i="34"/>
  <c r="U2599" i="34"/>
  <c r="Z2599" i="34"/>
  <c r="A2599" i="34"/>
  <c r="U2595" i="34"/>
  <c r="Z2595" i="34"/>
  <c r="A2595" i="34"/>
  <c r="U2591" i="34"/>
  <c r="Z2591" i="34"/>
  <c r="A2591" i="34"/>
  <c r="U2586" i="34"/>
  <c r="Z2586" i="34"/>
  <c r="A2586" i="34"/>
  <c r="U2582" i="34"/>
  <c r="Z2582" i="34"/>
  <c r="A2582" i="34"/>
  <c r="U2578" i="34"/>
  <c r="Z2578" i="34"/>
  <c r="A2578" i="34"/>
  <c r="U2574" i="34"/>
  <c r="Z2574" i="34"/>
  <c r="A2574" i="34"/>
  <c r="U2570" i="34"/>
  <c r="Z2570" i="34"/>
  <c r="A2570" i="34"/>
  <c r="U2565" i="34"/>
  <c r="Z2565" i="34"/>
  <c r="A2565" i="34"/>
  <c r="U2561" i="34"/>
  <c r="Z2561" i="34"/>
  <c r="A2561" i="34"/>
  <c r="U2557" i="34"/>
  <c r="Z2557" i="34"/>
  <c r="A2557" i="34"/>
  <c r="U2554" i="34"/>
  <c r="Z2554" i="34"/>
  <c r="A2554" i="34"/>
  <c r="U2550" i="34"/>
  <c r="Z2550" i="34"/>
  <c r="A2550" i="34"/>
  <c r="U2546" i="34"/>
  <c r="Z2546" i="34"/>
  <c r="A2546" i="34"/>
  <c r="U2542" i="34"/>
  <c r="Z2542" i="34"/>
  <c r="A2542" i="34"/>
  <c r="U2538" i="34"/>
  <c r="Z2538" i="34"/>
  <c r="A2538" i="34"/>
  <c r="U2534" i="34"/>
  <c r="Z2534" i="34"/>
  <c r="A2534" i="34"/>
  <c r="U2530" i="34"/>
  <c r="Z2530" i="34"/>
  <c r="A2530" i="34"/>
  <c r="U2526" i="34"/>
  <c r="Z2526" i="34"/>
  <c r="A2526" i="34"/>
  <c r="U2522" i="34"/>
  <c r="Z2522" i="34"/>
  <c r="A2522" i="34"/>
  <c r="U2518" i="34"/>
  <c r="Z2518" i="34"/>
  <c r="A2518" i="34"/>
  <c r="U2513" i="34"/>
  <c r="Z2513" i="34"/>
  <c r="A2513" i="34"/>
  <c r="U2509" i="34"/>
  <c r="Z2509" i="34"/>
  <c r="A2509" i="34"/>
  <c r="U2505" i="34"/>
  <c r="Z2505" i="34"/>
  <c r="A2505" i="34"/>
  <c r="U2501" i="34"/>
  <c r="Z2501" i="34"/>
  <c r="A2501" i="34"/>
  <c r="U2497" i="34"/>
  <c r="Z2497" i="34"/>
  <c r="A2497" i="34"/>
  <c r="U2493" i="34"/>
  <c r="Z2493" i="34"/>
  <c r="A2493" i="34"/>
  <c r="U2489" i="34"/>
  <c r="Z2489" i="34"/>
  <c r="A2489" i="34"/>
  <c r="U2485" i="34"/>
  <c r="Z2485" i="34"/>
  <c r="A2485" i="34"/>
  <c r="U2481" i="34"/>
  <c r="Z2481" i="34"/>
  <c r="A2481" i="34"/>
  <c r="U2477" i="34"/>
  <c r="Z2477" i="34"/>
  <c r="A2477" i="34"/>
  <c r="U2473" i="34"/>
  <c r="Z2473" i="34"/>
  <c r="A2473" i="34"/>
  <c r="U2469" i="34"/>
  <c r="Z2469" i="34"/>
  <c r="A2469" i="34"/>
  <c r="U2763" i="34"/>
  <c r="Z2763" i="34"/>
  <c r="U2767" i="34"/>
  <c r="Z2767" i="34"/>
  <c r="U2771" i="34"/>
  <c r="Z2771" i="34"/>
  <c r="U2775" i="34"/>
  <c r="Z2775" i="34"/>
  <c r="U2779" i="34"/>
  <c r="Z2779" i="34"/>
  <c r="U2783" i="34"/>
  <c r="Z2783" i="34"/>
  <c r="U2787" i="34"/>
  <c r="Z2787" i="34"/>
  <c r="U2791" i="34"/>
  <c r="Z2791" i="34"/>
  <c r="U2795" i="34"/>
  <c r="Z2795" i="34"/>
  <c r="U2799" i="34"/>
  <c r="Z2799" i="34"/>
  <c r="U2698" i="34"/>
  <c r="Z2698" i="34"/>
  <c r="A2698" i="34"/>
  <c r="U2714" i="34"/>
  <c r="Z2714" i="34"/>
  <c r="U2727" i="34"/>
  <c r="Z2727" i="34"/>
  <c r="U2746" i="34"/>
  <c r="Z2746" i="34"/>
  <c r="U2172" i="34"/>
  <c r="Z2172" i="34"/>
  <c r="A2172" i="34"/>
  <c r="U2176" i="34"/>
  <c r="Z2176" i="34"/>
  <c r="A2176" i="34"/>
  <c r="U2180" i="34"/>
  <c r="Z2180" i="34"/>
  <c r="A2180" i="34"/>
  <c r="U2184" i="34"/>
  <c r="Z2184" i="34"/>
  <c r="A2184" i="34"/>
  <c r="U2188" i="34"/>
  <c r="Z2188" i="34"/>
  <c r="A2188" i="34"/>
  <c r="U2192" i="34"/>
  <c r="Z2192" i="34"/>
  <c r="A2192" i="34"/>
  <c r="U2196" i="34"/>
  <c r="Z2196" i="34"/>
  <c r="A2196" i="34"/>
  <c r="U2200" i="34"/>
  <c r="Z2200" i="34"/>
  <c r="A2200" i="34"/>
  <c r="U2204" i="34"/>
  <c r="Z2204" i="34"/>
  <c r="A2204" i="34"/>
  <c r="U2663" i="34"/>
  <c r="Z2663" i="34"/>
  <c r="A2663" i="34"/>
  <c r="U2678" i="34"/>
  <c r="Z2678" i="34"/>
  <c r="A2678" i="34"/>
  <c r="U2107" i="34"/>
  <c r="Z2107" i="34"/>
  <c r="A2107" i="34"/>
  <c r="U2113" i="34"/>
  <c r="Z2113" i="34"/>
  <c r="A2113" i="34"/>
  <c r="U2210" i="34"/>
  <c r="Z2210" i="34"/>
  <c r="A2210" i="34"/>
  <c r="U2118" i="34"/>
  <c r="Z2118" i="34"/>
  <c r="A2118" i="34"/>
  <c r="U2120" i="34"/>
  <c r="Z2120" i="34"/>
  <c r="A2120" i="34"/>
  <c r="U2124" i="34"/>
  <c r="Z2124" i="34"/>
  <c r="A2124" i="34"/>
  <c r="U2128" i="34"/>
  <c r="Z2128" i="34"/>
  <c r="A2128" i="34"/>
  <c r="U2132" i="34"/>
  <c r="Z2132" i="34"/>
  <c r="A2132" i="34"/>
  <c r="U2136" i="34"/>
  <c r="Z2136" i="34"/>
  <c r="A2136" i="34"/>
  <c r="U2140" i="34"/>
  <c r="Z2140" i="34"/>
  <c r="A2140" i="34"/>
  <c r="U2144" i="34"/>
  <c r="Z2144" i="34"/>
  <c r="A2144" i="34"/>
  <c r="U2148" i="34"/>
  <c r="Z2148" i="34"/>
  <c r="A2148" i="34"/>
  <c r="U2152" i="34"/>
  <c r="Z2152" i="34"/>
  <c r="A2152" i="34"/>
  <c r="U2156" i="34"/>
  <c r="Z2156" i="34"/>
  <c r="A2156" i="34"/>
  <c r="U2160" i="34"/>
  <c r="Z2160" i="34"/>
  <c r="A2160" i="34"/>
  <c r="U2164" i="34"/>
  <c r="Z2164" i="34"/>
  <c r="A2164" i="34"/>
  <c r="U2168" i="34"/>
  <c r="Z2168" i="34"/>
  <c r="A2168" i="34"/>
  <c r="U2760" i="34"/>
  <c r="Z2760" i="34"/>
  <c r="U2756" i="34"/>
  <c r="Z2756" i="34"/>
  <c r="U2751" i="34"/>
  <c r="Z2751" i="34"/>
  <c r="U2744" i="34"/>
  <c r="Z2744" i="34"/>
  <c r="U2740" i="34"/>
  <c r="Z2740" i="34"/>
  <c r="U2735" i="34"/>
  <c r="Z2735" i="34"/>
  <c r="U2731" i="34"/>
  <c r="Z2731" i="34"/>
  <c r="U2724" i="34"/>
  <c r="Z2724" i="34"/>
  <c r="U2718" i="34"/>
  <c r="Z2718" i="34"/>
  <c r="U2712" i="34"/>
  <c r="Z2712" i="34"/>
  <c r="A2712" i="34"/>
  <c r="U2708" i="34"/>
  <c r="Z2708" i="34"/>
  <c r="A2708" i="34"/>
  <c r="U2703" i="34"/>
  <c r="Z2703" i="34"/>
  <c r="A2703" i="34"/>
  <c r="U2697" i="34"/>
  <c r="Z2697" i="34"/>
  <c r="A2697" i="34"/>
  <c r="U2692" i="34"/>
  <c r="Z2692" i="34"/>
  <c r="A2692" i="34"/>
  <c r="U2683" i="34"/>
  <c r="Z2683" i="34"/>
  <c r="A2683" i="34"/>
  <c r="U2679" i="34"/>
  <c r="Z2679" i="34"/>
  <c r="A2679" i="34"/>
  <c r="U2674" i="34"/>
  <c r="Z2674" i="34"/>
  <c r="A2674" i="34"/>
  <c r="U2669" i="34"/>
  <c r="Z2669" i="34"/>
  <c r="A2669" i="34"/>
  <c r="A2764" i="34"/>
  <c r="A2768" i="34"/>
  <c r="A2772" i="34"/>
  <c r="A2776" i="34"/>
  <c r="A2780" i="34"/>
  <c r="A2784" i="34"/>
  <c r="A2788" i="34"/>
  <c r="A2792" i="34"/>
  <c r="A2796" i="34"/>
  <c r="A2722" i="34"/>
  <c r="A2738" i="34"/>
  <c r="A2754" i="34"/>
  <c r="A2761" i="34"/>
  <c r="A2757" i="34"/>
  <c r="A2753" i="34"/>
  <c r="A2748" i="34"/>
  <c r="A2741" i="34"/>
  <c r="A2736" i="34"/>
  <c r="A2732" i="34"/>
  <c r="A2726" i="34"/>
  <c r="A2720" i="34"/>
  <c r="A2715" i="34"/>
  <c r="A2765" i="34"/>
  <c r="A2769" i="34"/>
  <c r="A2773" i="34"/>
  <c r="A2777" i="34"/>
  <c r="A2781" i="34"/>
  <c r="A2785" i="34"/>
  <c r="A2789" i="34"/>
  <c r="A2793" i="34"/>
  <c r="A2797" i="34"/>
  <c r="A2713" i="34"/>
  <c r="A2725" i="34"/>
  <c r="A2745" i="34"/>
  <c r="A2760" i="34"/>
  <c r="A2756" i="34"/>
  <c r="A2751" i="34"/>
  <c r="A2744" i="34"/>
  <c r="A2740" i="34"/>
  <c r="A2735" i="34"/>
  <c r="A2731" i="34"/>
  <c r="A2724" i="34"/>
  <c r="A2718" i="34"/>
  <c r="A2762" i="34"/>
  <c r="A2766" i="34"/>
  <c r="A2770" i="34"/>
  <c r="A2774" i="34"/>
  <c r="A2778" i="34"/>
  <c r="A2782" i="34"/>
  <c r="A2786" i="34"/>
  <c r="A2790" i="34"/>
  <c r="A2794" i="34"/>
  <c r="A2798" i="34"/>
  <c r="A2714" i="34"/>
  <c r="A2727" i="34"/>
  <c r="A2746" i="34"/>
  <c r="A2759" i="34"/>
  <c r="A2755" i="34"/>
  <c r="A2750" i="34"/>
  <c r="A2743" i="34"/>
  <c r="A2739" i="34"/>
  <c r="A2734" i="34"/>
  <c r="A2729" i="34"/>
  <c r="A2723" i="34"/>
  <c r="A2717" i="34"/>
  <c r="A2763" i="34"/>
  <c r="A2767" i="34"/>
  <c r="A2771" i="34"/>
  <c r="A2775" i="34"/>
  <c r="A2779" i="34"/>
  <c r="A2783" i="34"/>
  <c r="A2787" i="34"/>
  <c r="A2791" i="34"/>
  <c r="A2795" i="34"/>
  <c r="A2799" i="34"/>
  <c r="A2719" i="34"/>
  <c r="A2730" i="34"/>
  <c r="A2747" i="34"/>
  <c r="A2758" i="34"/>
  <c r="A2752" i="34"/>
  <c r="A2749" i="34"/>
  <c r="A2742" i="34"/>
  <c r="A2737" i="34"/>
  <c r="A2733" i="34"/>
  <c r="A2728" i="34"/>
  <c r="A2721" i="34"/>
  <c r="A2716" i="34"/>
  <c r="B1926" i="34" l="1"/>
  <c r="B1925" i="34"/>
  <c r="B1924" i="34"/>
  <c r="B1923" i="34"/>
  <c r="B1928" i="34"/>
  <c r="B1927" i="34"/>
  <c r="B1929" i="34"/>
  <c r="B1918" i="34"/>
  <c r="B1917" i="34"/>
  <c r="B1916" i="34"/>
  <c r="B1915" i="34"/>
  <c r="B1920" i="34"/>
  <c r="B1919" i="34"/>
  <c r="B1921" i="34"/>
  <c r="B1911" i="34"/>
  <c r="B1910" i="34"/>
  <c r="B1909" i="34"/>
  <c r="B1913" i="34"/>
  <c r="B1912" i="34"/>
  <c r="B2208" i="34"/>
  <c r="B2085" i="34"/>
  <c r="B1941" i="34"/>
  <c r="U1910" i="34" l="1"/>
  <c r="Z1910" i="34"/>
  <c r="A1910" i="34"/>
  <c r="U1920" i="34"/>
  <c r="Z1920" i="34"/>
  <c r="A1920" i="34"/>
  <c r="U1918" i="34"/>
  <c r="Z1918" i="34"/>
  <c r="A1918" i="34"/>
  <c r="U1923" i="34"/>
  <c r="Z1923" i="34"/>
  <c r="A1923" i="34"/>
  <c r="U1912" i="34"/>
  <c r="Z1912" i="34"/>
  <c r="A1912" i="34"/>
  <c r="U1911" i="34"/>
  <c r="Z1911" i="34"/>
  <c r="A1911" i="34"/>
  <c r="U1915" i="34"/>
  <c r="Z1915" i="34"/>
  <c r="A1915" i="34"/>
  <c r="U1929" i="34"/>
  <c r="Z1929" i="34"/>
  <c r="A1929" i="34"/>
  <c r="U1924" i="34"/>
  <c r="Z1924" i="34"/>
  <c r="A1924" i="34"/>
  <c r="U1941" i="34"/>
  <c r="Z1941" i="34"/>
  <c r="A1941" i="34"/>
  <c r="U1913" i="34"/>
  <c r="Z1913" i="34"/>
  <c r="A1913" i="34"/>
  <c r="U1921" i="34"/>
  <c r="Z1921" i="34"/>
  <c r="A1921" i="34"/>
  <c r="U1916" i="34"/>
  <c r="Z1916" i="34"/>
  <c r="A1916" i="34"/>
  <c r="U1927" i="34"/>
  <c r="Z1927" i="34"/>
  <c r="A1927" i="34"/>
  <c r="U1925" i="34"/>
  <c r="Z1925" i="34"/>
  <c r="A1925" i="34"/>
  <c r="U2208" i="34"/>
  <c r="Z2208" i="34"/>
  <c r="A2208" i="34"/>
  <c r="U2085" i="34"/>
  <c r="Z2085" i="34"/>
  <c r="A2085" i="34"/>
  <c r="U1909" i="34"/>
  <c r="Z1909" i="34"/>
  <c r="A1909" i="34"/>
  <c r="U1919" i="34"/>
  <c r="Z1919" i="34"/>
  <c r="A1919" i="34"/>
  <c r="U1917" i="34"/>
  <c r="Z1917" i="34"/>
  <c r="A1917" i="34"/>
  <c r="U1928" i="34"/>
  <c r="Z1928" i="34"/>
  <c r="A1928" i="34"/>
  <c r="U1926" i="34"/>
  <c r="Z1926" i="34"/>
  <c r="A1926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4" i="34"/>
  <c r="B1793" i="34"/>
  <c r="B1792" i="34"/>
  <c r="B1791" i="34"/>
  <c r="B1790" i="34"/>
  <c r="B1788" i="34"/>
  <c r="B1787" i="34"/>
  <c r="B1786" i="34"/>
  <c r="B1758" i="34"/>
  <c r="B1757" i="34"/>
  <c r="B1756" i="34"/>
  <c r="B1754" i="34"/>
  <c r="B1753" i="34"/>
  <c r="B1751" i="34"/>
  <c r="B1750" i="34"/>
  <c r="B1749" i="34"/>
  <c r="B1748" i="34"/>
  <c r="B1747" i="34"/>
  <c r="B1746" i="34"/>
  <c r="B1744" i="34"/>
  <c r="B1743" i="34"/>
  <c r="B1742" i="34"/>
  <c r="B1741" i="34"/>
  <c r="B1740" i="34"/>
  <c r="B1738" i="34"/>
  <c r="B1737" i="34"/>
  <c r="B1724" i="34"/>
  <c r="B1723" i="34"/>
  <c r="B1722" i="34"/>
  <c r="B1721" i="34"/>
  <c r="B1706" i="34"/>
  <c r="B1705" i="34"/>
  <c r="B1696" i="34"/>
  <c r="B1695" i="34"/>
  <c r="B1694" i="34"/>
  <c r="B1693" i="34"/>
  <c r="B1692" i="34"/>
  <c r="B1686" i="34"/>
  <c r="B1685" i="34"/>
  <c r="B1683" i="34"/>
  <c r="B1682" i="34"/>
  <c r="B1681" i="34"/>
  <c r="B1680" i="34"/>
  <c r="B1679" i="34"/>
  <c r="B1678" i="34"/>
  <c r="B1677" i="34"/>
  <c r="B1663" i="34"/>
  <c r="B1662" i="34"/>
  <c r="B1661" i="34"/>
  <c r="B1660" i="34"/>
  <c r="B1659" i="34"/>
  <c r="B1658" i="34"/>
  <c r="B1657" i="34"/>
  <c r="B1655" i="34"/>
  <c r="B1654" i="34"/>
  <c r="B1653" i="34"/>
  <c r="B1639" i="34"/>
  <c r="B1638" i="34"/>
  <c r="B1637" i="34"/>
  <c r="B1636" i="34"/>
  <c r="B1635" i="34"/>
  <c r="B1622" i="34"/>
  <c r="B1621" i="34"/>
  <c r="B1620" i="34"/>
  <c r="B1619" i="34"/>
  <c r="B1618" i="34"/>
  <c r="B1617" i="34"/>
  <c r="B1616" i="34"/>
  <c r="B1603" i="34"/>
  <c r="B1602" i="34"/>
  <c r="B1601" i="34"/>
  <c r="B1600" i="34"/>
  <c r="B1598" i="34"/>
  <c r="B1597" i="34"/>
  <c r="B1596" i="34"/>
  <c r="B1594" i="34"/>
  <c r="B1593" i="34"/>
  <c r="B1592" i="34"/>
  <c r="B1584" i="34"/>
  <c r="B1583" i="34"/>
  <c r="B1576" i="34"/>
  <c r="B1575" i="34"/>
  <c r="B1574" i="34"/>
  <c r="B1573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874" i="34"/>
  <c r="B1873" i="34"/>
  <c r="B1866" i="34"/>
  <c r="B1865" i="34"/>
  <c r="B2221" i="34"/>
  <c r="B2220" i="34"/>
  <c r="B2219" i="34"/>
  <c r="B2218" i="34"/>
  <c r="B2217" i="34"/>
  <c r="B1935" i="34"/>
  <c r="B1934" i="34"/>
  <c r="B1933" i="34"/>
  <c r="B1932" i="34"/>
  <c r="B1931" i="34"/>
  <c r="B1930" i="34"/>
  <c r="B1922" i="34"/>
  <c r="B1914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945" i="34"/>
  <c r="B1944" i="34"/>
  <c r="B1943" i="34"/>
  <c r="B1939" i="34"/>
  <c r="B1938" i="34"/>
  <c r="B1937" i="34"/>
  <c r="B1936" i="34"/>
  <c r="B1896" i="34"/>
  <c r="B1895" i="34"/>
  <c r="B1894" i="34"/>
  <c r="B1893" i="34"/>
  <c r="B1892" i="34"/>
  <c r="B1891" i="34"/>
  <c r="B1890" i="34"/>
  <c r="B1889" i="34"/>
  <c r="B1888" i="34"/>
  <c r="B1872" i="34"/>
  <c r="B1871" i="34"/>
  <c r="B1870" i="34"/>
  <c r="B1869" i="34"/>
  <c r="B1868" i="34"/>
  <c r="B1867" i="34"/>
  <c r="B1863" i="34"/>
  <c r="B1862" i="34"/>
  <c r="B1861" i="34"/>
  <c r="B2209" i="34"/>
  <c r="B2207" i="34"/>
  <c r="B2086" i="34"/>
  <c r="B2084" i="34"/>
  <c r="B1942" i="34"/>
  <c r="B1940" i="34"/>
  <c r="B1860" i="34"/>
  <c r="B1859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0" i="34"/>
  <c r="B2059" i="34"/>
  <c r="B2058" i="34"/>
  <c r="B2057" i="34"/>
  <c r="B2056" i="34"/>
  <c r="B2055" i="34"/>
  <c r="B2054" i="34"/>
  <c r="B2053" i="34"/>
  <c r="B1993" i="34"/>
  <c r="B1992" i="34"/>
  <c r="B1991" i="34"/>
  <c r="B1990" i="34"/>
  <c r="B1953" i="34"/>
  <c r="B1952" i="34"/>
  <c r="B1951" i="34"/>
  <c r="B1950" i="34"/>
  <c r="B1946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105" i="34"/>
  <c r="B2104" i="34"/>
  <c r="B2103" i="34"/>
  <c r="B2102" i="34"/>
  <c r="B2101" i="34"/>
  <c r="B2100" i="34"/>
  <c r="B2099" i="34"/>
  <c r="B2068" i="34"/>
  <c r="B2067" i="34"/>
  <c r="B2066" i="34"/>
  <c r="B2065" i="34"/>
  <c r="B2064" i="34"/>
  <c r="B2063" i="34"/>
  <c r="B2062" i="34"/>
  <c r="B2061" i="34"/>
  <c r="B1949" i="34"/>
  <c r="B1948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U1986" i="34" l="1"/>
  <c r="Z1986" i="34"/>
  <c r="A1986" i="34"/>
  <c r="U1998" i="34"/>
  <c r="Z1998" i="34"/>
  <c r="A1998" i="34"/>
  <c r="U2006" i="34"/>
  <c r="Z2006" i="34"/>
  <c r="A2006" i="34"/>
  <c r="U2018" i="34"/>
  <c r="Z2018" i="34"/>
  <c r="A2018" i="34"/>
  <c r="U2026" i="34"/>
  <c r="Z2026" i="34"/>
  <c r="A2026" i="34"/>
  <c r="U2034" i="34"/>
  <c r="Z2034" i="34"/>
  <c r="A2034" i="34"/>
  <c r="U2042" i="34"/>
  <c r="Z2042" i="34"/>
  <c r="A2042" i="34"/>
  <c r="U2050" i="34"/>
  <c r="Z2050" i="34"/>
  <c r="A2050" i="34"/>
  <c r="U2064" i="34"/>
  <c r="Z2064" i="34"/>
  <c r="A2064" i="34"/>
  <c r="U2068" i="34"/>
  <c r="Z2068" i="34"/>
  <c r="A2068" i="34"/>
  <c r="U2362" i="34"/>
  <c r="Z2362" i="34"/>
  <c r="A2362" i="34"/>
  <c r="U2370" i="34"/>
  <c r="Z2370" i="34"/>
  <c r="A2370" i="34"/>
  <c r="U2378" i="34"/>
  <c r="Z2378" i="34"/>
  <c r="A2378" i="34"/>
  <c r="U2386" i="34"/>
  <c r="Z2386" i="34"/>
  <c r="A2386" i="34"/>
  <c r="U2390" i="34"/>
  <c r="Z2390" i="34"/>
  <c r="A2390" i="34"/>
  <c r="U2394" i="34"/>
  <c r="Z2394" i="34"/>
  <c r="A2394" i="34"/>
  <c r="U2402" i="34"/>
  <c r="Z2402" i="34"/>
  <c r="A2402" i="34"/>
  <c r="U2406" i="34"/>
  <c r="Z2406" i="34"/>
  <c r="A2406" i="34"/>
  <c r="U2410" i="34"/>
  <c r="Z2410" i="34"/>
  <c r="A2410" i="34"/>
  <c r="U2414" i="34"/>
  <c r="Z2414" i="34"/>
  <c r="A2414" i="34"/>
  <c r="U2418" i="34"/>
  <c r="Z2418" i="34"/>
  <c r="A2418" i="34"/>
  <c r="U2422" i="34"/>
  <c r="Z2422" i="34"/>
  <c r="A2422" i="34"/>
  <c r="U2293" i="34"/>
  <c r="Z2293" i="34"/>
  <c r="A2293" i="34"/>
  <c r="U2297" i="34"/>
  <c r="Z2297" i="34"/>
  <c r="A2297" i="34"/>
  <c r="U2301" i="34"/>
  <c r="Z2301" i="34"/>
  <c r="A2301" i="34"/>
  <c r="U2305" i="34"/>
  <c r="Z2305" i="34"/>
  <c r="A2305" i="34"/>
  <c r="U2309" i="34"/>
  <c r="Z2309" i="34"/>
  <c r="A2309" i="34"/>
  <c r="U2313" i="34"/>
  <c r="Z2313" i="34"/>
  <c r="A2313" i="34"/>
  <c r="U2317" i="34"/>
  <c r="Z2317" i="34"/>
  <c r="A2317" i="34"/>
  <c r="U2321" i="34"/>
  <c r="Z2321" i="34"/>
  <c r="A2321" i="34"/>
  <c r="U2325" i="34"/>
  <c r="Z2325" i="34"/>
  <c r="A2325" i="34"/>
  <c r="U2329" i="34"/>
  <c r="Z2329" i="34"/>
  <c r="A2329" i="34"/>
  <c r="U2333" i="34"/>
  <c r="Z2333" i="34"/>
  <c r="A2333" i="34"/>
  <c r="U2337" i="34"/>
  <c r="Z2337" i="34"/>
  <c r="A2337" i="34"/>
  <c r="U2341" i="34"/>
  <c r="Z2341" i="34"/>
  <c r="A2341" i="34"/>
  <c r="U2345" i="34"/>
  <c r="Z2345" i="34"/>
  <c r="A2345" i="34"/>
  <c r="U2349" i="34"/>
  <c r="Z2349" i="34"/>
  <c r="A2349" i="34"/>
  <c r="U2353" i="34"/>
  <c r="Z2353" i="34"/>
  <c r="A2353" i="34"/>
  <c r="U2357" i="34"/>
  <c r="Z2357" i="34"/>
  <c r="A2357" i="34"/>
  <c r="U1946" i="34"/>
  <c r="Z1946" i="34"/>
  <c r="A1946" i="34"/>
  <c r="U1953" i="34"/>
  <c r="Z1953" i="34"/>
  <c r="A1953" i="34"/>
  <c r="U1993" i="34"/>
  <c r="Z1993" i="34"/>
  <c r="A1993" i="34"/>
  <c r="U2056" i="34"/>
  <c r="Z2056" i="34"/>
  <c r="A2056" i="34"/>
  <c r="U2060" i="34"/>
  <c r="Z2060" i="34"/>
  <c r="A2060" i="34"/>
  <c r="U2072" i="34"/>
  <c r="Z2072" i="34"/>
  <c r="A2072" i="34"/>
  <c r="U2076" i="34"/>
  <c r="Z2076" i="34"/>
  <c r="A2076" i="34"/>
  <c r="U2080" i="34"/>
  <c r="Z2080" i="34"/>
  <c r="A2080" i="34"/>
  <c r="U2087" i="34"/>
  <c r="Z2087" i="34"/>
  <c r="A2087" i="34"/>
  <c r="U2091" i="34"/>
  <c r="Z2091" i="34"/>
  <c r="A2091" i="34"/>
  <c r="U2095" i="34"/>
  <c r="Z2095" i="34"/>
  <c r="A2095" i="34"/>
  <c r="U1954" i="34"/>
  <c r="Z1954" i="34"/>
  <c r="A1954" i="34"/>
  <c r="U1958" i="34"/>
  <c r="Z1958" i="34"/>
  <c r="A1958" i="34"/>
  <c r="U1962" i="34"/>
  <c r="Z1962" i="34"/>
  <c r="A1962" i="34"/>
  <c r="U1966" i="34"/>
  <c r="Z1966" i="34"/>
  <c r="A1966" i="34"/>
  <c r="U1970" i="34"/>
  <c r="Z1970" i="34"/>
  <c r="A1970" i="34"/>
  <c r="U1974" i="34"/>
  <c r="Z1974" i="34"/>
  <c r="A1974" i="34"/>
  <c r="U1978" i="34"/>
  <c r="Z1978" i="34"/>
  <c r="A1978" i="34"/>
  <c r="U1982" i="34"/>
  <c r="Z1982" i="34"/>
  <c r="A1982" i="34"/>
  <c r="U1942" i="34"/>
  <c r="Z1942" i="34"/>
  <c r="A1942" i="34"/>
  <c r="U2209" i="34"/>
  <c r="Z2209" i="34"/>
  <c r="A2209" i="34"/>
  <c r="U1867" i="34"/>
  <c r="Z1867" i="34"/>
  <c r="A1867" i="34"/>
  <c r="U1871" i="34"/>
  <c r="Z1871" i="34"/>
  <c r="A1871" i="34"/>
  <c r="U1890" i="34"/>
  <c r="Z1890" i="34"/>
  <c r="A1890" i="34"/>
  <c r="U1894" i="34"/>
  <c r="Z1894" i="34"/>
  <c r="A1894" i="34"/>
  <c r="U1937" i="34"/>
  <c r="Z1937" i="34"/>
  <c r="A1937" i="34"/>
  <c r="U1944" i="34"/>
  <c r="Z1944" i="34"/>
  <c r="A1944" i="34"/>
  <c r="U1877" i="34"/>
  <c r="Z1877" i="34"/>
  <c r="A1877" i="34"/>
  <c r="U1881" i="34"/>
  <c r="Z1881" i="34"/>
  <c r="A1881" i="34"/>
  <c r="U1885" i="34"/>
  <c r="Z1885" i="34"/>
  <c r="A1885" i="34"/>
  <c r="U1899" i="34"/>
  <c r="Z1899" i="34"/>
  <c r="A1899" i="34"/>
  <c r="U1903" i="34"/>
  <c r="Z1903" i="34"/>
  <c r="A1903" i="34"/>
  <c r="U1907" i="34"/>
  <c r="Z1907" i="34"/>
  <c r="A1907" i="34"/>
  <c r="U1930" i="34"/>
  <c r="Z1930" i="34"/>
  <c r="A1930" i="34"/>
  <c r="U1934" i="34"/>
  <c r="Z1934" i="34"/>
  <c r="A1934" i="34"/>
  <c r="U2219" i="34"/>
  <c r="Z2219" i="34"/>
  <c r="A2219" i="34"/>
  <c r="U1866" i="34"/>
  <c r="Z1866" i="34"/>
  <c r="A1866" i="34"/>
  <c r="U2223" i="34"/>
  <c r="Z2223" i="34"/>
  <c r="A2223" i="34"/>
  <c r="U2227" i="34"/>
  <c r="Z2227" i="34"/>
  <c r="A2227" i="34"/>
  <c r="U2231" i="34"/>
  <c r="Z2231" i="34"/>
  <c r="A2231" i="34"/>
  <c r="U2235" i="34"/>
  <c r="Z2235" i="34"/>
  <c r="A2235" i="34"/>
  <c r="U2239" i="34"/>
  <c r="Z2239" i="34"/>
  <c r="A2239" i="34"/>
  <c r="U2243" i="34"/>
  <c r="Z2243" i="34"/>
  <c r="A2243" i="34"/>
  <c r="U2247" i="34"/>
  <c r="Z2247" i="34"/>
  <c r="A2247" i="34"/>
  <c r="U2251" i="34"/>
  <c r="Z2251" i="34"/>
  <c r="A2251" i="34"/>
  <c r="U2255" i="34"/>
  <c r="Z2255" i="34"/>
  <c r="A2255" i="34"/>
  <c r="U2259" i="34"/>
  <c r="Z2259" i="34"/>
  <c r="A2259" i="34"/>
  <c r="U2263" i="34"/>
  <c r="Z2263" i="34"/>
  <c r="A2263" i="34"/>
  <c r="U2267" i="34"/>
  <c r="Z2267" i="34"/>
  <c r="A2267" i="34"/>
  <c r="U2271" i="34"/>
  <c r="Z2271" i="34"/>
  <c r="A2271" i="34"/>
  <c r="U2275" i="34"/>
  <c r="Z2275" i="34"/>
  <c r="A2275" i="34"/>
  <c r="U2279" i="34"/>
  <c r="Z2279" i="34"/>
  <c r="A2279" i="34"/>
  <c r="U2283" i="34"/>
  <c r="Z2283" i="34"/>
  <c r="A2283" i="34"/>
  <c r="U2287" i="34"/>
  <c r="Z2287" i="34"/>
  <c r="A2287" i="34"/>
  <c r="U1574" i="34"/>
  <c r="Z1574" i="34"/>
  <c r="A1574" i="34"/>
  <c r="U1584" i="34"/>
  <c r="Z1584" i="34"/>
  <c r="A1584" i="34"/>
  <c r="U1596" i="34"/>
  <c r="Z1596" i="34"/>
  <c r="A1596" i="34"/>
  <c r="U1601" i="34"/>
  <c r="Z1601" i="34"/>
  <c r="A1601" i="34"/>
  <c r="U1617" i="34"/>
  <c r="Z1617" i="34"/>
  <c r="A1617" i="34"/>
  <c r="U1621" i="34"/>
  <c r="Z1621" i="34"/>
  <c r="A1621" i="34"/>
  <c r="U1637" i="34"/>
  <c r="Z1637" i="34"/>
  <c r="A1637" i="34"/>
  <c r="U1654" i="34"/>
  <c r="Z1654" i="34"/>
  <c r="A1654" i="34"/>
  <c r="U1659" i="34"/>
  <c r="Z1659" i="34"/>
  <c r="A1659" i="34"/>
  <c r="U1663" i="34"/>
  <c r="Z1663" i="34"/>
  <c r="A1663" i="34"/>
  <c r="U1680" i="34"/>
  <c r="Z1680" i="34"/>
  <c r="A1680" i="34"/>
  <c r="U1685" i="34"/>
  <c r="Z1685" i="34"/>
  <c r="A1685" i="34"/>
  <c r="U1694" i="34"/>
  <c r="Z1694" i="34"/>
  <c r="A1694" i="34"/>
  <c r="U1706" i="34"/>
  <c r="Z1706" i="34"/>
  <c r="A1706" i="34"/>
  <c r="U1724" i="34"/>
  <c r="Z1724" i="34"/>
  <c r="A1724" i="34"/>
  <c r="U1741" i="34"/>
  <c r="Z1741" i="34"/>
  <c r="A1741" i="34"/>
  <c r="U1746" i="34"/>
  <c r="Z1746" i="34"/>
  <c r="A1746" i="34"/>
  <c r="U1750" i="34"/>
  <c r="Z1750" i="34"/>
  <c r="A1750" i="34"/>
  <c r="U1756" i="34"/>
  <c r="Z1756" i="34"/>
  <c r="A1756" i="34"/>
  <c r="U1787" i="34"/>
  <c r="Z1787" i="34"/>
  <c r="A1787" i="34"/>
  <c r="U1792" i="34"/>
  <c r="Z1792" i="34"/>
  <c r="A1792" i="34"/>
  <c r="U1799" i="34"/>
  <c r="Z1799" i="34"/>
  <c r="A1799" i="34"/>
  <c r="U1803" i="34"/>
  <c r="Z1803" i="34"/>
  <c r="A1803" i="34"/>
  <c r="U1807" i="34"/>
  <c r="Z1807" i="34"/>
  <c r="A1807" i="34"/>
  <c r="U1811" i="34"/>
  <c r="Z1811" i="34"/>
  <c r="A1811" i="34"/>
  <c r="U1815" i="34"/>
  <c r="Z1815" i="34"/>
  <c r="A1815" i="34"/>
  <c r="U1819" i="34"/>
  <c r="Z1819" i="34"/>
  <c r="A1819" i="34"/>
  <c r="U1823" i="34"/>
  <c r="Z1823" i="34"/>
  <c r="A1823" i="34"/>
  <c r="U1827" i="34"/>
  <c r="Z1827" i="34"/>
  <c r="A1827" i="34"/>
  <c r="U1831" i="34"/>
  <c r="Z1831" i="34"/>
  <c r="A1831" i="34"/>
  <c r="U1835" i="34"/>
  <c r="Z1835" i="34"/>
  <c r="A1835" i="34"/>
  <c r="U1839" i="34"/>
  <c r="Z1839" i="34"/>
  <c r="A1839" i="34"/>
  <c r="U1843" i="34"/>
  <c r="Z1843" i="34"/>
  <c r="A1843" i="34"/>
  <c r="U1847" i="34"/>
  <c r="Z1847" i="34"/>
  <c r="A1847" i="34"/>
  <c r="U1851" i="34"/>
  <c r="Z1851" i="34"/>
  <c r="A1851" i="34"/>
  <c r="U1855" i="34"/>
  <c r="Z1855" i="34"/>
  <c r="A1855" i="34"/>
  <c r="U1994" i="34"/>
  <c r="Z1994" i="34"/>
  <c r="A1994" i="34"/>
  <c r="U2002" i="34"/>
  <c r="Z2002" i="34"/>
  <c r="A2002" i="34"/>
  <c r="U2010" i="34"/>
  <c r="Z2010" i="34"/>
  <c r="A2010" i="34"/>
  <c r="U2014" i="34"/>
  <c r="Z2014" i="34"/>
  <c r="A2014" i="34"/>
  <c r="U2022" i="34"/>
  <c r="Z2022" i="34"/>
  <c r="A2022" i="34"/>
  <c r="U2030" i="34"/>
  <c r="Z2030" i="34"/>
  <c r="A2030" i="34"/>
  <c r="U2038" i="34"/>
  <c r="Z2038" i="34"/>
  <c r="A2038" i="34"/>
  <c r="U2046" i="34"/>
  <c r="Z2046" i="34"/>
  <c r="A2046" i="34"/>
  <c r="U1949" i="34"/>
  <c r="Z1949" i="34"/>
  <c r="A1949" i="34"/>
  <c r="U2102" i="34"/>
  <c r="Z2102" i="34"/>
  <c r="A2102" i="34"/>
  <c r="U2366" i="34"/>
  <c r="Z2366" i="34"/>
  <c r="A2366" i="34"/>
  <c r="U2374" i="34"/>
  <c r="Z2374" i="34"/>
  <c r="A2374" i="34"/>
  <c r="U2382" i="34"/>
  <c r="Z2382" i="34"/>
  <c r="A2382" i="34"/>
  <c r="U2398" i="34"/>
  <c r="Z2398" i="34"/>
  <c r="A2398" i="34"/>
  <c r="U1983" i="34"/>
  <c r="Z1983" i="34"/>
  <c r="A1983" i="34"/>
  <c r="U1987" i="34"/>
  <c r="Z1987" i="34"/>
  <c r="A1987" i="34"/>
  <c r="U1995" i="34"/>
  <c r="Z1995" i="34"/>
  <c r="A1995" i="34"/>
  <c r="U1999" i="34"/>
  <c r="Z1999" i="34"/>
  <c r="A1999" i="34"/>
  <c r="U2003" i="34"/>
  <c r="Z2003" i="34"/>
  <c r="A2003" i="34"/>
  <c r="U2007" i="34"/>
  <c r="Z2007" i="34"/>
  <c r="A2007" i="34"/>
  <c r="U2011" i="34"/>
  <c r="Z2011" i="34"/>
  <c r="A2011" i="34"/>
  <c r="U2015" i="34"/>
  <c r="Z2015" i="34"/>
  <c r="A2015" i="34"/>
  <c r="U2019" i="34"/>
  <c r="Z2019" i="34"/>
  <c r="A2019" i="34"/>
  <c r="U2023" i="34"/>
  <c r="Z2023" i="34"/>
  <c r="A2023" i="34"/>
  <c r="U2027" i="34"/>
  <c r="Z2027" i="34"/>
  <c r="A2027" i="34"/>
  <c r="U2031" i="34"/>
  <c r="Z2031" i="34"/>
  <c r="A2031" i="34"/>
  <c r="U2035" i="34"/>
  <c r="Z2035" i="34"/>
  <c r="A2035" i="34"/>
  <c r="U2039" i="34"/>
  <c r="Z2039" i="34"/>
  <c r="A2039" i="34"/>
  <c r="U2043" i="34"/>
  <c r="Z2043" i="34"/>
  <c r="A2043" i="34"/>
  <c r="U2047" i="34"/>
  <c r="Z2047" i="34"/>
  <c r="A2047" i="34"/>
  <c r="U2051" i="34"/>
  <c r="Z2051" i="34"/>
  <c r="A2051" i="34"/>
  <c r="U2061" i="34"/>
  <c r="Z2061" i="34"/>
  <c r="A2061" i="34"/>
  <c r="U2065" i="34"/>
  <c r="Z2065" i="34"/>
  <c r="A2065" i="34"/>
  <c r="U2099" i="34"/>
  <c r="Z2099" i="34"/>
  <c r="A2099" i="34"/>
  <c r="U2103" i="34"/>
  <c r="Z2103" i="34"/>
  <c r="A2103" i="34"/>
  <c r="U2363" i="34"/>
  <c r="Z2363" i="34"/>
  <c r="A2363" i="34"/>
  <c r="U2367" i="34"/>
  <c r="Z2367" i="34"/>
  <c r="A2367" i="34"/>
  <c r="U2371" i="34"/>
  <c r="Z2371" i="34"/>
  <c r="A2371" i="34"/>
  <c r="U2375" i="34"/>
  <c r="Z2375" i="34"/>
  <c r="A2375" i="34"/>
  <c r="U2379" i="34"/>
  <c r="Z2379" i="34"/>
  <c r="A2379" i="34"/>
  <c r="U2383" i="34"/>
  <c r="Z2383" i="34"/>
  <c r="A2383" i="34"/>
  <c r="U2387" i="34"/>
  <c r="Z2387" i="34"/>
  <c r="A2387" i="34"/>
  <c r="U2391" i="34"/>
  <c r="Z2391" i="34"/>
  <c r="A2391" i="34"/>
  <c r="U2395" i="34"/>
  <c r="Z2395" i="34"/>
  <c r="A2395" i="34"/>
  <c r="U2399" i="34"/>
  <c r="Z2399" i="34"/>
  <c r="A2399" i="34"/>
  <c r="U2403" i="34"/>
  <c r="Z2403" i="34"/>
  <c r="A2403" i="34"/>
  <c r="U2407" i="34"/>
  <c r="Z2407" i="34"/>
  <c r="A2407" i="34"/>
  <c r="U2411" i="34"/>
  <c r="Z2411" i="34"/>
  <c r="A2411" i="34"/>
  <c r="U2415" i="34"/>
  <c r="Z2415" i="34"/>
  <c r="A2415" i="34"/>
  <c r="U2419" i="34"/>
  <c r="Z2419" i="34"/>
  <c r="A2419" i="34"/>
  <c r="U2290" i="34"/>
  <c r="Z2290" i="34"/>
  <c r="A2290" i="34"/>
  <c r="U2294" i="34"/>
  <c r="Z2294" i="34"/>
  <c r="A2294" i="34"/>
  <c r="U2298" i="34"/>
  <c r="Z2298" i="34"/>
  <c r="A2298" i="34"/>
  <c r="U2302" i="34"/>
  <c r="Z2302" i="34"/>
  <c r="A2302" i="34"/>
  <c r="U2306" i="34"/>
  <c r="Z2306" i="34"/>
  <c r="A2306" i="34"/>
  <c r="U2310" i="34"/>
  <c r="Z2310" i="34"/>
  <c r="A2310" i="34"/>
  <c r="U2314" i="34"/>
  <c r="Z2314" i="34"/>
  <c r="A2314" i="34"/>
  <c r="U2318" i="34"/>
  <c r="Z2318" i="34"/>
  <c r="A2318" i="34"/>
  <c r="U2322" i="34"/>
  <c r="Z2322" i="34"/>
  <c r="A2322" i="34"/>
  <c r="U2326" i="34"/>
  <c r="Z2326" i="34"/>
  <c r="A2326" i="34"/>
  <c r="U2330" i="34"/>
  <c r="Z2330" i="34"/>
  <c r="A2330" i="34"/>
  <c r="U2334" i="34"/>
  <c r="Z2334" i="34"/>
  <c r="A2334" i="34"/>
  <c r="U2338" i="34"/>
  <c r="Z2338" i="34"/>
  <c r="A2338" i="34"/>
  <c r="U2342" i="34"/>
  <c r="Z2342" i="34"/>
  <c r="A2342" i="34"/>
  <c r="U2346" i="34"/>
  <c r="Z2346" i="34"/>
  <c r="A2346" i="34"/>
  <c r="U2350" i="34"/>
  <c r="Z2350" i="34"/>
  <c r="A2350" i="34"/>
  <c r="U2354" i="34"/>
  <c r="Z2354" i="34"/>
  <c r="A2354" i="34"/>
  <c r="U2358" i="34"/>
  <c r="Z2358" i="34"/>
  <c r="A2358" i="34"/>
  <c r="U1950" i="34"/>
  <c r="Z1950" i="34"/>
  <c r="A1950" i="34"/>
  <c r="U1990" i="34"/>
  <c r="Z1990" i="34"/>
  <c r="A1990" i="34"/>
  <c r="U2053" i="34"/>
  <c r="Z2053" i="34"/>
  <c r="A2053" i="34"/>
  <c r="U2057" i="34"/>
  <c r="Z2057" i="34"/>
  <c r="A2057" i="34"/>
  <c r="U2069" i="34"/>
  <c r="Z2069" i="34"/>
  <c r="A2069" i="34"/>
  <c r="U2073" i="34"/>
  <c r="Z2073" i="34"/>
  <c r="A2073" i="34"/>
  <c r="U2077" i="34"/>
  <c r="Z2077" i="34"/>
  <c r="A2077" i="34"/>
  <c r="U2081" i="34"/>
  <c r="Z2081" i="34"/>
  <c r="A2081" i="34"/>
  <c r="U2088" i="34"/>
  <c r="Z2088" i="34"/>
  <c r="A2088" i="34"/>
  <c r="U2092" i="34"/>
  <c r="Z2092" i="34"/>
  <c r="A2092" i="34"/>
  <c r="U2096" i="34"/>
  <c r="Z2096" i="34"/>
  <c r="A2096" i="34"/>
  <c r="U1955" i="34"/>
  <c r="Z1955" i="34"/>
  <c r="A1955" i="34"/>
  <c r="U1959" i="34"/>
  <c r="Z1959" i="34"/>
  <c r="A1959" i="34"/>
  <c r="U1963" i="34"/>
  <c r="Z1963" i="34"/>
  <c r="A1963" i="34"/>
  <c r="U1967" i="34"/>
  <c r="Z1967" i="34"/>
  <c r="A1967" i="34"/>
  <c r="U1971" i="34"/>
  <c r="Z1971" i="34"/>
  <c r="A1971" i="34"/>
  <c r="U1975" i="34"/>
  <c r="Z1975" i="34"/>
  <c r="A1975" i="34"/>
  <c r="U1979" i="34"/>
  <c r="Z1979" i="34"/>
  <c r="A1979" i="34"/>
  <c r="U1859" i="34"/>
  <c r="Z1859" i="34"/>
  <c r="A1859" i="34"/>
  <c r="U2084" i="34"/>
  <c r="Z2084" i="34"/>
  <c r="A2084" i="34"/>
  <c r="U1861" i="34"/>
  <c r="Z1861" i="34"/>
  <c r="A1861" i="34"/>
  <c r="U1868" i="34"/>
  <c r="Z1868" i="34"/>
  <c r="A1868" i="34"/>
  <c r="U1872" i="34"/>
  <c r="Z1872" i="34"/>
  <c r="A1872" i="34"/>
  <c r="U1891" i="34"/>
  <c r="Z1891" i="34"/>
  <c r="A1891" i="34"/>
  <c r="U1895" i="34"/>
  <c r="Z1895" i="34"/>
  <c r="A1895" i="34"/>
  <c r="U1938" i="34"/>
  <c r="Z1938" i="34"/>
  <c r="A1938" i="34"/>
  <c r="U1945" i="34"/>
  <c r="Z1945" i="34"/>
  <c r="A1945" i="34"/>
  <c r="U1878" i="34"/>
  <c r="Z1878" i="34"/>
  <c r="A1878" i="34"/>
  <c r="U1882" i="34"/>
  <c r="Z1882" i="34"/>
  <c r="A1882" i="34"/>
  <c r="U1886" i="34"/>
  <c r="Z1886" i="34"/>
  <c r="A1886" i="34"/>
  <c r="U1900" i="34"/>
  <c r="Z1900" i="34"/>
  <c r="A1900" i="34"/>
  <c r="U1904" i="34"/>
  <c r="Z1904" i="34"/>
  <c r="A1904" i="34"/>
  <c r="U1908" i="34"/>
  <c r="Z1908" i="34"/>
  <c r="A1908" i="34"/>
  <c r="U1931" i="34"/>
  <c r="Z1931" i="34"/>
  <c r="A1931" i="34"/>
  <c r="U1935" i="34"/>
  <c r="Z1935" i="34"/>
  <c r="A1935" i="34"/>
  <c r="U2220" i="34"/>
  <c r="Z2220" i="34"/>
  <c r="A2220" i="34"/>
  <c r="U1873" i="34"/>
  <c r="Z1873" i="34"/>
  <c r="A1873" i="34"/>
  <c r="U2224" i="34"/>
  <c r="Z2224" i="34"/>
  <c r="A2224" i="34"/>
  <c r="U2228" i="34"/>
  <c r="Z2228" i="34"/>
  <c r="A2228" i="34"/>
  <c r="U2232" i="34"/>
  <c r="Z2232" i="34"/>
  <c r="A2232" i="34"/>
  <c r="U2236" i="34"/>
  <c r="Z2236" i="34"/>
  <c r="A2236" i="34"/>
  <c r="U2240" i="34"/>
  <c r="Z2240" i="34"/>
  <c r="A2240" i="34"/>
  <c r="U2244" i="34"/>
  <c r="Z2244" i="34"/>
  <c r="A2244" i="34"/>
  <c r="U2248" i="34"/>
  <c r="Z2248" i="34"/>
  <c r="A2248" i="34"/>
  <c r="U2252" i="34"/>
  <c r="Z2252" i="34"/>
  <c r="A2252" i="34"/>
  <c r="U2256" i="34"/>
  <c r="Z2256" i="34"/>
  <c r="A2256" i="34"/>
  <c r="U2260" i="34"/>
  <c r="Z2260" i="34"/>
  <c r="A2260" i="34"/>
  <c r="U2264" i="34"/>
  <c r="Z2264" i="34"/>
  <c r="A2264" i="34"/>
  <c r="U2268" i="34"/>
  <c r="Z2268" i="34"/>
  <c r="A2268" i="34"/>
  <c r="U2272" i="34"/>
  <c r="Z2272" i="34"/>
  <c r="A2272" i="34"/>
  <c r="U2276" i="34"/>
  <c r="Z2276" i="34"/>
  <c r="A2276" i="34"/>
  <c r="U2280" i="34"/>
  <c r="Z2280" i="34"/>
  <c r="A2280" i="34"/>
  <c r="U2284" i="34"/>
  <c r="Z2284" i="34"/>
  <c r="A2284" i="34"/>
  <c r="U2288" i="34"/>
  <c r="Z2288" i="34"/>
  <c r="A2288" i="34"/>
  <c r="U1575" i="34"/>
  <c r="Z1575" i="34"/>
  <c r="A1575" i="34"/>
  <c r="U1592" i="34"/>
  <c r="Z1592" i="34"/>
  <c r="A1592" i="34"/>
  <c r="U1597" i="34"/>
  <c r="Z1597" i="34"/>
  <c r="A1597" i="34"/>
  <c r="U1602" i="34"/>
  <c r="Z1602" i="34"/>
  <c r="A1602" i="34"/>
  <c r="U1618" i="34"/>
  <c r="Z1618" i="34"/>
  <c r="A1618" i="34"/>
  <c r="U1622" i="34"/>
  <c r="Z1622" i="34"/>
  <c r="A1622" i="34"/>
  <c r="U1638" i="34"/>
  <c r="Z1638" i="34"/>
  <c r="A1638" i="34"/>
  <c r="U1655" i="34"/>
  <c r="Z1655" i="34"/>
  <c r="A1655" i="34"/>
  <c r="U1660" i="34"/>
  <c r="Z1660" i="34"/>
  <c r="A1660" i="34"/>
  <c r="U1677" i="34"/>
  <c r="Z1677" i="34"/>
  <c r="A1677" i="34"/>
  <c r="U1681" i="34"/>
  <c r="Z1681" i="34"/>
  <c r="A1681" i="34"/>
  <c r="U1686" i="34"/>
  <c r="Z1686" i="34"/>
  <c r="A1686" i="34"/>
  <c r="U1695" i="34"/>
  <c r="Z1695" i="34"/>
  <c r="A1695" i="34"/>
  <c r="U1721" i="34"/>
  <c r="Z1721" i="34"/>
  <c r="A1721" i="34"/>
  <c r="U1737" i="34"/>
  <c r="Z1737" i="34"/>
  <c r="A1737" i="34"/>
  <c r="U1742" i="34"/>
  <c r="Z1742" i="34"/>
  <c r="A1742" i="34"/>
  <c r="U1747" i="34"/>
  <c r="Z1747" i="34"/>
  <c r="A1747" i="34"/>
  <c r="U1751" i="34"/>
  <c r="Z1751" i="34"/>
  <c r="A1751" i="34"/>
  <c r="U1757" i="34"/>
  <c r="Z1757" i="34"/>
  <c r="A1757" i="34"/>
  <c r="U1788" i="34"/>
  <c r="Z1788" i="34"/>
  <c r="A1788" i="34"/>
  <c r="U1793" i="34"/>
  <c r="Z1793" i="34"/>
  <c r="A1793" i="34"/>
  <c r="U1800" i="34"/>
  <c r="Z1800" i="34"/>
  <c r="A1800" i="34"/>
  <c r="U1804" i="34"/>
  <c r="Z1804" i="34"/>
  <c r="A1804" i="34"/>
  <c r="U1808" i="34"/>
  <c r="Z1808" i="34"/>
  <c r="A1808" i="34"/>
  <c r="U1812" i="34"/>
  <c r="Z1812" i="34"/>
  <c r="A1812" i="34"/>
  <c r="U1816" i="34"/>
  <c r="Z1816" i="34"/>
  <c r="A1816" i="34"/>
  <c r="U1820" i="34"/>
  <c r="Z1820" i="34"/>
  <c r="A1820" i="34"/>
  <c r="U1824" i="34"/>
  <c r="Z1824" i="34"/>
  <c r="A1824" i="34"/>
  <c r="U1828" i="34"/>
  <c r="Z1828" i="34"/>
  <c r="A1828" i="34"/>
  <c r="U1832" i="34"/>
  <c r="Z1832" i="34"/>
  <c r="A1832" i="34"/>
  <c r="U1836" i="34"/>
  <c r="Z1836" i="34"/>
  <c r="A1836" i="34"/>
  <c r="U1840" i="34"/>
  <c r="Z1840" i="34"/>
  <c r="A1840" i="34"/>
  <c r="U1844" i="34"/>
  <c r="Z1844" i="34"/>
  <c r="A1844" i="34"/>
  <c r="U1848" i="34"/>
  <c r="Z1848" i="34"/>
  <c r="A1848" i="34"/>
  <c r="U1852" i="34"/>
  <c r="Z1852" i="34"/>
  <c r="A1852" i="34"/>
  <c r="U1856" i="34"/>
  <c r="Z1856" i="34"/>
  <c r="A1856" i="34"/>
  <c r="U1996" i="34"/>
  <c r="Z1996" i="34"/>
  <c r="A1996" i="34"/>
  <c r="U2004" i="34"/>
  <c r="Z2004" i="34"/>
  <c r="A2004" i="34"/>
  <c r="U2012" i="34"/>
  <c r="Z2012" i="34"/>
  <c r="A2012" i="34"/>
  <c r="U2016" i="34"/>
  <c r="Z2016" i="34"/>
  <c r="A2016" i="34"/>
  <c r="U2024" i="34"/>
  <c r="Z2024" i="34"/>
  <c r="A2024" i="34"/>
  <c r="U2036" i="34"/>
  <c r="Z2036" i="34"/>
  <c r="A2036" i="34"/>
  <c r="U2044" i="34"/>
  <c r="Z2044" i="34"/>
  <c r="A2044" i="34"/>
  <c r="U2052" i="34"/>
  <c r="Z2052" i="34"/>
  <c r="A2052" i="34"/>
  <c r="U2066" i="34"/>
  <c r="Z2066" i="34"/>
  <c r="A2066" i="34"/>
  <c r="U2104" i="34"/>
  <c r="Z2104" i="34"/>
  <c r="A2104" i="34"/>
  <c r="U2368" i="34"/>
  <c r="Z2368" i="34"/>
  <c r="A2368" i="34"/>
  <c r="U2376" i="34"/>
  <c r="Z2376" i="34"/>
  <c r="A2376" i="34"/>
  <c r="U2384" i="34"/>
  <c r="Z2384" i="34"/>
  <c r="A2384" i="34"/>
  <c r="U2388" i="34"/>
  <c r="Z2388" i="34"/>
  <c r="A2388" i="34"/>
  <c r="U2392" i="34"/>
  <c r="Z2392" i="34"/>
  <c r="A2392" i="34"/>
  <c r="U2400" i="34"/>
  <c r="Z2400" i="34"/>
  <c r="A2400" i="34"/>
  <c r="U2404" i="34"/>
  <c r="Z2404" i="34"/>
  <c r="A2404" i="34"/>
  <c r="U2408" i="34"/>
  <c r="Z2408" i="34"/>
  <c r="A2408" i="34"/>
  <c r="U2412" i="34"/>
  <c r="Z2412" i="34"/>
  <c r="A2412" i="34"/>
  <c r="U2416" i="34"/>
  <c r="Z2416" i="34"/>
  <c r="A2416" i="34"/>
  <c r="U2420" i="34"/>
  <c r="Z2420" i="34"/>
  <c r="A2420" i="34"/>
  <c r="U2291" i="34"/>
  <c r="Z2291" i="34"/>
  <c r="A2291" i="34"/>
  <c r="U2295" i="34"/>
  <c r="Z2295" i="34"/>
  <c r="A2295" i="34"/>
  <c r="U2299" i="34"/>
  <c r="Z2299" i="34"/>
  <c r="A2299" i="34"/>
  <c r="U2303" i="34"/>
  <c r="Z2303" i="34"/>
  <c r="A2303" i="34"/>
  <c r="U2307" i="34"/>
  <c r="Z2307" i="34"/>
  <c r="A2307" i="34"/>
  <c r="U2311" i="34"/>
  <c r="Z2311" i="34"/>
  <c r="A2311" i="34"/>
  <c r="U2315" i="34"/>
  <c r="Z2315" i="34"/>
  <c r="A2315" i="34"/>
  <c r="U2319" i="34"/>
  <c r="Z2319" i="34"/>
  <c r="A2319" i="34"/>
  <c r="U2323" i="34"/>
  <c r="Z2323" i="34"/>
  <c r="A2323" i="34"/>
  <c r="U2327" i="34"/>
  <c r="Z2327" i="34"/>
  <c r="A2327" i="34"/>
  <c r="U2331" i="34"/>
  <c r="Z2331" i="34"/>
  <c r="A2331" i="34"/>
  <c r="U2335" i="34"/>
  <c r="Z2335" i="34"/>
  <c r="A2335" i="34"/>
  <c r="U2339" i="34"/>
  <c r="Z2339" i="34"/>
  <c r="A2339" i="34"/>
  <c r="U2343" i="34"/>
  <c r="Z2343" i="34"/>
  <c r="A2343" i="34"/>
  <c r="U2347" i="34"/>
  <c r="Z2347" i="34"/>
  <c r="A2347" i="34"/>
  <c r="U2351" i="34"/>
  <c r="Z2351" i="34"/>
  <c r="A2351" i="34"/>
  <c r="U2355" i="34"/>
  <c r="Z2355" i="34"/>
  <c r="A2355" i="34"/>
  <c r="U2359" i="34"/>
  <c r="Z2359" i="34"/>
  <c r="A2359" i="34"/>
  <c r="U1951" i="34"/>
  <c r="Z1951" i="34"/>
  <c r="A1951" i="34"/>
  <c r="U1991" i="34"/>
  <c r="Z1991" i="34"/>
  <c r="A1991" i="34"/>
  <c r="U2054" i="34"/>
  <c r="Z2054" i="34"/>
  <c r="A2054" i="34"/>
  <c r="U2058" i="34"/>
  <c r="Z2058" i="34"/>
  <c r="A2058" i="34"/>
  <c r="U2070" i="34"/>
  <c r="Z2070" i="34"/>
  <c r="A2070" i="34"/>
  <c r="U2074" i="34"/>
  <c r="Z2074" i="34"/>
  <c r="A2074" i="34"/>
  <c r="U2078" i="34"/>
  <c r="Z2078" i="34"/>
  <c r="A2078" i="34"/>
  <c r="U2082" i="34"/>
  <c r="Z2082" i="34"/>
  <c r="A2082" i="34"/>
  <c r="U2089" i="34"/>
  <c r="Z2089" i="34"/>
  <c r="A2089" i="34"/>
  <c r="U2093" i="34"/>
  <c r="Z2093" i="34"/>
  <c r="A2093" i="34"/>
  <c r="U2097" i="34"/>
  <c r="Z2097" i="34"/>
  <c r="A2097" i="34"/>
  <c r="U1956" i="34"/>
  <c r="Z1956" i="34"/>
  <c r="A1956" i="34"/>
  <c r="U1960" i="34"/>
  <c r="Z1960" i="34"/>
  <c r="A1960" i="34"/>
  <c r="U1964" i="34"/>
  <c r="Z1964" i="34"/>
  <c r="A1964" i="34"/>
  <c r="U1968" i="34"/>
  <c r="Z1968" i="34"/>
  <c r="A1968" i="34"/>
  <c r="U1972" i="34"/>
  <c r="Z1972" i="34"/>
  <c r="A1972" i="34"/>
  <c r="U1976" i="34"/>
  <c r="Z1976" i="34"/>
  <c r="A1976" i="34"/>
  <c r="U1980" i="34"/>
  <c r="Z1980" i="34"/>
  <c r="A1980" i="34"/>
  <c r="U1860" i="34"/>
  <c r="Z1860" i="34"/>
  <c r="A1860" i="34"/>
  <c r="U2086" i="34"/>
  <c r="Z2086" i="34"/>
  <c r="A2086" i="34"/>
  <c r="U1862" i="34"/>
  <c r="Z1862" i="34"/>
  <c r="A1862" i="34"/>
  <c r="U1869" i="34"/>
  <c r="Z1869" i="34"/>
  <c r="A1869" i="34"/>
  <c r="U1888" i="34"/>
  <c r="Z1888" i="34"/>
  <c r="A1888" i="34"/>
  <c r="U1892" i="34"/>
  <c r="Z1892" i="34"/>
  <c r="A1892" i="34"/>
  <c r="U1896" i="34"/>
  <c r="Z1896" i="34"/>
  <c r="A1896" i="34"/>
  <c r="U1939" i="34"/>
  <c r="Z1939" i="34"/>
  <c r="A1939" i="34"/>
  <c r="U1875" i="34"/>
  <c r="Z1875" i="34"/>
  <c r="A1875" i="34"/>
  <c r="U1879" i="34"/>
  <c r="Z1879" i="34"/>
  <c r="A1879" i="34"/>
  <c r="U1883" i="34"/>
  <c r="Z1883" i="34"/>
  <c r="A1883" i="34"/>
  <c r="U1887" i="34"/>
  <c r="Z1887" i="34"/>
  <c r="A1887" i="34"/>
  <c r="U1901" i="34"/>
  <c r="Z1901" i="34"/>
  <c r="A1901" i="34"/>
  <c r="U1905" i="34"/>
  <c r="Z1905" i="34"/>
  <c r="A1905" i="34"/>
  <c r="U1914" i="34"/>
  <c r="Z1914" i="34"/>
  <c r="A1914" i="34"/>
  <c r="U1932" i="34"/>
  <c r="Z1932" i="34"/>
  <c r="A1932" i="34"/>
  <c r="U2217" i="34"/>
  <c r="Z2217" i="34"/>
  <c r="A2217" i="34"/>
  <c r="U2221" i="34"/>
  <c r="Z2221" i="34"/>
  <c r="A2221" i="34"/>
  <c r="U1874" i="34"/>
  <c r="Z1874" i="34"/>
  <c r="A1874" i="34"/>
  <c r="U2225" i="34"/>
  <c r="Z2225" i="34"/>
  <c r="A2225" i="34"/>
  <c r="U2229" i="34"/>
  <c r="Z2229" i="34"/>
  <c r="A2229" i="34"/>
  <c r="U2233" i="34"/>
  <c r="Z2233" i="34"/>
  <c r="A2233" i="34"/>
  <c r="U2237" i="34"/>
  <c r="Z2237" i="34"/>
  <c r="A2237" i="34"/>
  <c r="U2241" i="34"/>
  <c r="Z2241" i="34"/>
  <c r="A2241" i="34"/>
  <c r="U2245" i="34"/>
  <c r="Z2245" i="34"/>
  <c r="A2245" i="34"/>
  <c r="U2249" i="34"/>
  <c r="Z2249" i="34"/>
  <c r="A2249" i="34"/>
  <c r="U2253" i="34"/>
  <c r="Z2253" i="34"/>
  <c r="A2253" i="34"/>
  <c r="U2257" i="34"/>
  <c r="Z2257" i="34"/>
  <c r="A2257" i="34"/>
  <c r="U2261" i="34"/>
  <c r="Z2261" i="34"/>
  <c r="A2261" i="34"/>
  <c r="U2265" i="34"/>
  <c r="Z2265" i="34"/>
  <c r="A2265" i="34"/>
  <c r="U2269" i="34"/>
  <c r="Z2269" i="34"/>
  <c r="A2269" i="34"/>
  <c r="U2273" i="34"/>
  <c r="Z2273" i="34"/>
  <c r="A2273" i="34"/>
  <c r="U2277" i="34"/>
  <c r="Z2277" i="34"/>
  <c r="A2277" i="34"/>
  <c r="U2281" i="34"/>
  <c r="Z2281" i="34"/>
  <c r="A2281" i="34"/>
  <c r="U2285" i="34"/>
  <c r="Z2285" i="34"/>
  <c r="A2285" i="34"/>
  <c r="U2289" i="34"/>
  <c r="Z2289" i="34"/>
  <c r="A2289" i="34"/>
  <c r="U1576" i="34"/>
  <c r="Z1576" i="34"/>
  <c r="A1576" i="34"/>
  <c r="U1593" i="34"/>
  <c r="Z1593" i="34"/>
  <c r="A1593" i="34"/>
  <c r="U1598" i="34"/>
  <c r="Z1598" i="34"/>
  <c r="A1598" i="34"/>
  <c r="U1603" i="34"/>
  <c r="Z1603" i="34"/>
  <c r="A1603" i="34"/>
  <c r="U1619" i="34"/>
  <c r="Z1619" i="34"/>
  <c r="A1619" i="34"/>
  <c r="U1635" i="34"/>
  <c r="Z1635" i="34"/>
  <c r="A1635" i="34"/>
  <c r="U1639" i="34"/>
  <c r="Z1639" i="34"/>
  <c r="A1639" i="34"/>
  <c r="U1657" i="34"/>
  <c r="Z1657" i="34"/>
  <c r="A1657" i="34"/>
  <c r="U1661" i="34"/>
  <c r="Z1661" i="34"/>
  <c r="A1661" i="34"/>
  <c r="U1678" i="34"/>
  <c r="Z1678" i="34"/>
  <c r="A1678" i="34"/>
  <c r="U1682" i="34"/>
  <c r="Z1682" i="34"/>
  <c r="A1682" i="34"/>
  <c r="U1692" i="34"/>
  <c r="Z1692" i="34"/>
  <c r="A1692" i="34"/>
  <c r="U1696" i="34"/>
  <c r="Z1696" i="34"/>
  <c r="A1696" i="34"/>
  <c r="U1722" i="34"/>
  <c r="Z1722" i="34"/>
  <c r="A1722" i="34"/>
  <c r="U1738" i="34"/>
  <c r="Z1738" i="34"/>
  <c r="A1738" i="34"/>
  <c r="U1743" i="34"/>
  <c r="Z1743" i="34"/>
  <c r="A1743" i="34"/>
  <c r="U1748" i="34"/>
  <c r="Z1748" i="34"/>
  <c r="A1748" i="34"/>
  <c r="U1753" i="34"/>
  <c r="Z1753" i="34"/>
  <c r="A1753" i="34"/>
  <c r="U1758" i="34"/>
  <c r="Z1758" i="34"/>
  <c r="A1758" i="34"/>
  <c r="U1790" i="34"/>
  <c r="Z1790" i="34"/>
  <c r="A1790" i="34"/>
  <c r="U1794" i="34"/>
  <c r="Z1794" i="34"/>
  <c r="A1794" i="34"/>
  <c r="U1801" i="34"/>
  <c r="Z1801" i="34"/>
  <c r="A1801" i="34"/>
  <c r="U1805" i="34"/>
  <c r="Z1805" i="34"/>
  <c r="A1805" i="34"/>
  <c r="U1809" i="34"/>
  <c r="Z1809" i="34"/>
  <c r="A1809" i="34"/>
  <c r="U1813" i="34"/>
  <c r="Z1813" i="34"/>
  <c r="A1813" i="34"/>
  <c r="U1817" i="34"/>
  <c r="Z1817" i="34"/>
  <c r="A1817" i="34"/>
  <c r="U1821" i="34"/>
  <c r="Z1821" i="34"/>
  <c r="A1821" i="34"/>
  <c r="U1825" i="34"/>
  <c r="Z1825" i="34"/>
  <c r="A1825" i="34"/>
  <c r="U1829" i="34"/>
  <c r="Z1829" i="34"/>
  <c r="A1829" i="34"/>
  <c r="U1833" i="34"/>
  <c r="Z1833" i="34"/>
  <c r="A1833" i="34"/>
  <c r="U1837" i="34"/>
  <c r="Z1837" i="34"/>
  <c r="A1837" i="34"/>
  <c r="U1841" i="34"/>
  <c r="Z1841" i="34"/>
  <c r="A1841" i="34"/>
  <c r="U1845" i="34"/>
  <c r="Z1845" i="34"/>
  <c r="A1845" i="34"/>
  <c r="U1849" i="34"/>
  <c r="Z1849" i="34"/>
  <c r="A1849" i="34"/>
  <c r="U1853" i="34"/>
  <c r="Z1853" i="34"/>
  <c r="A1853" i="34"/>
  <c r="U1857" i="34"/>
  <c r="Z1857" i="34"/>
  <c r="A1857" i="34"/>
  <c r="U1984" i="34"/>
  <c r="Z1984" i="34"/>
  <c r="A1984" i="34"/>
  <c r="U1988" i="34"/>
  <c r="Z1988" i="34"/>
  <c r="A1988" i="34"/>
  <c r="U2000" i="34"/>
  <c r="Z2000" i="34"/>
  <c r="A2000" i="34"/>
  <c r="U2008" i="34"/>
  <c r="Z2008" i="34"/>
  <c r="A2008" i="34"/>
  <c r="U2020" i="34"/>
  <c r="Z2020" i="34"/>
  <c r="A2020" i="34"/>
  <c r="U2028" i="34"/>
  <c r="Z2028" i="34"/>
  <c r="A2028" i="34"/>
  <c r="U2032" i="34"/>
  <c r="Z2032" i="34"/>
  <c r="A2032" i="34"/>
  <c r="U2040" i="34"/>
  <c r="Z2040" i="34"/>
  <c r="A2040" i="34"/>
  <c r="U2048" i="34"/>
  <c r="Z2048" i="34"/>
  <c r="A2048" i="34"/>
  <c r="U2062" i="34"/>
  <c r="Z2062" i="34"/>
  <c r="A2062" i="34"/>
  <c r="U2100" i="34"/>
  <c r="Z2100" i="34"/>
  <c r="A2100" i="34"/>
  <c r="U2364" i="34"/>
  <c r="Z2364" i="34"/>
  <c r="A2364" i="34"/>
  <c r="U2372" i="34"/>
  <c r="Z2372" i="34"/>
  <c r="A2372" i="34"/>
  <c r="U2380" i="34"/>
  <c r="Z2380" i="34"/>
  <c r="A2380" i="34"/>
  <c r="U2396" i="34"/>
  <c r="Z2396" i="34"/>
  <c r="A2396" i="34"/>
  <c r="U1985" i="34"/>
  <c r="Z1985" i="34"/>
  <c r="A1985" i="34"/>
  <c r="U1989" i="34"/>
  <c r="Z1989" i="34"/>
  <c r="A1989" i="34"/>
  <c r="U1997" i="34"/>
  <c r="Z1997" i="34"/>
  <c r="A1997" i="34"/>
  <c r="U2001" i="34"/>
  <c r="Z2001" i="34"/>
  <c r="A2001" i="34"/>
  <c r="U2005" i="34"/>
  <c r="Z2005" i="34"/>
  <c r="A2005" i="34"/>
  <c r="U2009" i="34"/>
  <c r="Z2009" i="34"/>
  <c r="A2009" i="34"/>
  <c r="U2013" i="34"/>
  <c r="Z2013" i="34"/>
  <c r="A2013" i="34"/>
  <c r="U2017" i="34"/>
  <c r="Z2017" i="34"/>
  <c r="A2017" i="34"/>
  <c r="U2021" i="34"/>
  <c r="Z2021" i="34"/>
  <c r="A2021" i="34"/>
  <c r="U2025" i="34"/>
  <c r="Z2025" i="34"/>
  <c r="A2025" i="34"/>
  <c r="U2029" i="34"/>
  <c r="Z2029" i="34"/>
  <c r="A2029" i="34"/>
  <c r="U2033" i="34"/>
  <c r="Z2033" i="34"/>
  <c r="A2033" i="34"/>
  <c r="U2037" i="34"/>
  <c r="Z2037" i="34"/>
  <c r="A2037" i="34"/>
  <c r="U2041" i="34"/>
  <c r="Z2041" i="34"/>
  <c r="A2041" i="34"/>
  <c r="U2045" i="34"/>
  <c r="Z2045" i="34"/>
  <c r="A2045" i="34"/>
  <c r="U2049" i="34"/>
  <c r="Z2049" i="34"/>
  <c r="A2049" i="34"/>
  <c r="U1948" i="34"/>
  <c r="Z1948" i="34"/>
  <c r="A1948" i="34"/>
  <c r="U2063" i="34"/>
  <c r="Z2063" i="34"/>
  <c r="A2063" i="34"/>
  <c r="U2067" i="34"/>
  <c r="Z2067" i="34"/>
  <c r="A2067" i="34"/>
  <c r="U2101" i="34"/>
  <c r="Z2101" i="34"/>
  <c r="A2101" i="34"/>
  <c r="U2105" i="34"/>
  <c r="Z2105" i="34"/>
  <c r="A2105" i="34"/>
  <c r="U2365" i="34"/>
  <c r="Z2365" i="34"/>
  <c r="A2365" i="34"/>
  <c r="U2369" i="34"/>
  <c r="Z2369" i="34"/>
  <c r="A2369" i="34"/>
  <c r="U2373" i="34"/>
  <c r="Z2373" i="34"/>
  <c r="A2373" i="34"/>
  <c r="U2377" i="34"/>
  <c r="Z2377" i="34"/>
  <c r="A2377" i="34"/>
  <c r="U2381" i="34"/>
  <c r="Z2381" i="34"/>
  <c r="A2381" i="34"/>
  <c r="U2385" i="34"/>
  <c r="Z2385" i="34"/>
  <c r="A2385" i="34"/>
  <c r="U2389" i="34"/>
  <c r="Z2389" i="34"/>
  <c r="A2389" i="34"/>
  <c r="U2393" i="34"/>
  <c r="Z2393" i="34"/>
  <c r="A2393" i="34"/>
  <c r="U2397" i="34"/>
  <c r="Z2397" i="34"/>
  <c r="A2397" i="34"/>
  <c r="U2401" i="34"/>
  <c r="Z2401" i="34"/>
  <c r="A2401" i="34"/>
  <c r="U2405" i="34"/>
  <c r="Z2405" i="34"/>
  <c r="A2405" i="34"/>
  <c r="U2409" i="34"/>
  <c r="Z2409" i="34"/>
  <c r="A2409" i="34"/>
  <c r="U2413" i="34"/>
  <c r="Z2413" i="34"/>
  <c r="A2413" i="34"/>
  <c r="U2417" i="34"/>
  <c r="Z2417" i="34"/>
  <c r="A2417" i="34"/>
  <c r="U2421" i="34"/>
  <c r="Z2421" i="34"/>
  <c r="A2421" i="34"/>
  <c r="U2292" i="34"/>
  <c r="Z2292" i="34"/>
  <c r="A2292" i="34"/>
  <c r="U2296" i="34"/>
  <c r="Z2296" i="34"/>
  <c r="A2296" i="34"/>
  <c r="U2300" i="34"/>
  <c r="Z2300" i="34"/>
  <c r="A2300" i="34"/>
  <c r="U2304" i="34"/>
  <c r="Z2304" i="34"/>
  <c r="A2304" i="34"/>
  <c r="U2308" i="34"/>
  <c r="Z2308" i="34"/>
  <c r="A2308" i="34"/>
  <c r="U2312" i="34"/>
  <c r="Z2312" i="34"/>
  <c r="A2312" i="34"/>
  <c r="U2316" i="34"/>
  <c r="Z2316" i="34"/>
  <c r="A2316" i="34"/>
  <c r="U2320" i="34"/>
  <c r="Z2320" i="34"/>
  <c r="A2320" i="34"/>
  <c r="U2324" i="34"/>
  <c r="Z2324" i="34"/>
  <c r="A2324" i="34"/>
  <c r="U2328" i="34"/>
  <c r="Z2328" i="34"/>
  <c r="A2328" i="34"/>
  <c r="U2332" i="34"/>
  <c r="Z2332" i="34"/>
  <c r="A2332" i="34"/>
  <c r="U2336" i="34"/>
  <c r="Z2336" i="34"/>
  <c r="A2336" i="34"/>
  <c r="U2340" i="34"/>
  <c r="Z2340" i="34"/>
  <c r="A2340" i="34"/>
  <c r="U2344" i="34"/>
  <c r="Z2344" i="34"/>
  <c r="A2344" i="34"/>
  <c r="U2348" i="34"/>
  <c r="Z2348" i="34"/>
  <c r="A2348" i="34"/>
  <c r="U2352" i="34"/>
  <c r="Z2352" i="34"/>
  <c r="A2352" i="34"/>
  <c r="U2356" i="34"/>
  <c r="Z2356" i="34"/>
  <c r="A2356" i="34"/>
  <c r="U2360" i="34"/>
  <c r="Z2360" i="34"/>
  <c r="A2360" i="34"/>
  <c r="U1952" i="34"/>
  <c r="Z1952" i="34"/>
  <c r="A1952" i="34"/>
  <c r="U1992" i="34"/>
  <c r="Z1992" i="34"/>
  <c r="A1992" i="34"/>
  <c r="U2055" i="34"/>
  <c r="Z2055" i="34"/>
  <c r="A2055" i="34"/>
  <c r="U2059" i="34"/>
  <c r="Z2059" i="34"/>
  <c r="A2059" i="34"/>
  <c r="U2071" i="34"/>
  <c r="Z2071" i="34"/>
  <c r="A2071" i="34"/>
  <c r="U2075" i="34"/>
  <c r="Z2075" i="34"/>
  <c r="A2075" i="34"/>
  <c r="U2079" i="34"/>
  <c r="Z2079" i="34"/>
  <c r="A2079" i="34"/>
  <c r="U2083" i="34"/>
  <c r="Z2083" i="34"/>
  <c r="A2083" i="34"/>
  <c r="U2090" i="34"/>
  <c r="Z2090" i="34"/>
  <c r="A2090" i="34"/>
  <c r="U2094" i="34"/>
  <c r="Z2094" i="34"/>
  <c r="A2094" i="34"/>
  <c r="U2098" i="34"/>
  <c r="Z2098" i="34"/>
  <c r="A2098" i="34"/>
  <c r="U1957" i="34"/>
  <c r="Z1957" i="34"/>
  <c r="A1957" i="34"/>
  <c r="U1961" i="34"/>
  <c r="Z1961" i="34"/>
  <c r="A1961" i="34"/>
  <c r="U1965" i="34"/>
  <c r="Z1965" i="34"/>
  <c r="A1965" i="34"/>
  <c r="U1969" i="34"/>
  <c r="Z1969" i="34"/>
  <c r="A1969" i="34"/>
  <c r="U1973" i="34"/>
  <c r="Z1973" i="34"/>
  <c r="A1973" i="34"/>
  <c r="U1977" i="34"/>
  <c r="Z1977" i="34"/>
  <c r="A1977" i="34"/>
  <c r="U1981" i="34"/>
  <c r="Z1981" i="34"/>
  <c r="A1981" i="34"/>
  <c r="U1940" i="34"/>
  <c r="Z1940" i="34"/>
  <c r="A1940" i="34"/>
  <c r="U2207" i="34"/>
  <c r="Z2207" i="34"/>
  <c r="A2207" i="34"/>
  <c r="U1863" i="34"/>
  <c r="Z1863" i="34"/>
  <c r="A1863" i="34"/>
  <c r="U1870" i="34"/>
  <c r="Z1870" i="34"/>
  <c r="A1870" i="34"/>
  <c r="U1889" i="34"/>
  <c r="Z1889" i="34"/>
  <c r="A1889" i="34"/>
  <c r="U1893" i="34"/>
  <c r="Z1893" i="34"/>
  <c r="A1893" i="34"/>
  <c r="U1936" i="34"/>
  <c r="Z1936" i="34"/>
  <c r="A1936" i="34"/>
  <c r="U1943" i="34"/>
  <c r="Z1943" i="34"/>
  <c r="A1943" i="34"/>
  <c r="U1876" i="34"/>
  <c r="Z1876" i="34"/>
  <c r="A1876" i="34"/>
  <c r="U1880" i="34"/>
  <c r="Z1880" i="34"/>
  <c r="A1880" i="34"/>
  <c r="U1884" i="34"/>
  <c r="Z1884" i="34"/>
  <c r="A1884" i="34"/>
  <c r="U1898" i="34"/>
  <c r="Z1898" i="34"/>
  <c r="A1898" i="34"/>
  <c r="U1902" i="34"/>
  <c r="Z1902" i="34"/>
  <c r="A1902" i="34"/>
  <c r="U1906" i="34"/>
  <c r="Z1906" i="34"/>
  <c r="A1906" i="34"/>
  <c r="U1922" i="34"/>
  <c r="Z1922" i="34"/>
  <c r="A1922" i="34"/>
  <c r="U1933" i="34"/>
  <c r="Z1933" i="34"/>
  <c r="A1933" i="34"/>
  <c r="U2218" i="34"/>
  <c r="Z2218" i="34"/>
  <c r="A2218" i="34"/>
  <c r="U1865" i="34"/>
  <c r="Z1865" i="34"/>
  <c r="A1865" i="34"/>
  <c r="U2222" i="34"/>
  <c r="Z2222" i="34"/>
  <c r="A2222" i="34"/>
  <c r="U2226" i="34"/>
  <c r="Z2226" i="34"/>
  <c r="A2226" i="34"/>
  <c r="U2230" i="34"/>
  <c r="Z2230" i="34"/>
  <c r="A2230" i="34"/>
  <c r="U2234" i="34"/>
  <c r="Z2234" i="34"/>
  <c r="A2234" i="34"/>
  <c r="U2238" i="34"/>
  <c r="Z2238" i="34"/>
  <c r="A2238" i="34"/>
  <c r="U2242" i="34"/>
  <c r="Z2242" i="34"/>
  <c r="A2242" i="34"/>
  <c r="U2246" i="34"/>
  <c r="Z2246" i="34"/>
  <c r="A2246" i="34"/>
  <c r="U2250" i="34"/>
  <c r="Z2250" i="34"/>
  <c r="A2250" i="34"/>
  <c r="U2254" i="34"/>
  <c r="Z2254" i="34"/>
  <c r="A2254" i="34"/>
  <c r="U2258" i="34"/>
  <c r="Z2258" i="34"/>
  <c r="A2258" i="34"/>
  <c r="U2262" i="34"/>
  <c r="Z2262" i="34"/>
  <c r="A2262" i="34"/>
  <c r="U2266" i="34"/>
  <c r="Z2266" i="34"/>
  <c r="A2266" i="34"/>
  <c r="U2270" i="34"/>
  <c r="Z2270" i="34"/>
  <c r="A2270" i="34"/>
  <c r="U2274" i="34"/>
  <c r="Z2274" i="34"/>
  <c r="A2274" i="34"/>
  <c r="U2278" i="34"/>
  <c r="Z2278" i="34"/>
  <c r="A2278" i="34"/>
  <c r="U2282" i="34"/>
  <c r="Z2282" i="34"/>
  <c r="A2282" i="34"/>
  <c r="U2286" i="34"/>
  <c r="Z2286" i="34"/>
  <c r="A2286" i="34"/>
  <c r="U1573" i="34"/>
  <c r="Z1573" i="34"/>
  <c r="A1573" i="34"/>
  <c r="U1583" i="34"/>
  <c r="Z1583" i="34"/>
  <c r="A1583" i="34"/>
  <c r="U1594" i="34"/>
  <c r="Z1594" i="34"/>
  <c r="A1594" i="34"/>
  <c r="U1600" i="34"/>
  <c r="Z1600" i="34"/>
  <c r="A1600" i="34"/>
  <c r="U1616" i="34"/>
  <c r="Z1616" i="34"/>
  <c r="A1616" i="34"/>
  <c r="U1620" i="34"/>
  <c r="Z1620" i="34"/>
  <c r="A1620" i="34"/>
  <c r="U1636" i="34"/>
  <c r="Z1636" i="34"/>
  <c r="A1636" i="34"/>
  <c r="U1653" i="34"/>
  <c r="Z1653" i="34"/>
  <c r="A1653" i="34"/>
  <c r="U1658" i="34"/>
  <c r="Z1658" i="34"/>
  <c r="A1658" i="34"/>
  <c r="U1662" i="34"/>
  <c r="Z1662" i="34"/>
  <c r="A1662" i="34"/>
  <c r="U1679" i="34"/>
  <c r="Z1679" i="34"/>
  <c r="A1679" i="34"/>
  <c r="U1683" i="34"/>
  <c r="Z1683" i="34"/>
  <c r="A1683" i="34"/>
  <c r="U1693" i="34"/>
  <c r="Z1693" i="34"/>
  <c r="A1693" i="34"/>
  <c r="U1705" i="34"/>
  <c r="Z1705" i="34"/>
  <c r="A1705" i="34"/>
  <c r="U1723" i="34"/>
  <c r="Z1723" i="34"/>
  <c r="A1723" i="34"/>
  <c r="U1740" i="34"/>
  <c r="Z1740" i="34"/>
  <c r="A1740" i="34"/>
  <c r="U1744" i="34"/>
  <c r="Z1744" i="34"/>
  <c r="A1744" i="34"/>
  <c r="U1749" i="34"/>
  <c r="Z1749" i="34"/>
  <c r="A1749" i="34"/>
  <c r="U1754" i="34"/>
  <c r="Z1754" i="34"/>
  <c r="A1754" i="34"/>
  <c r="U1786" i="34"/>
  <c r="Z1786" i="34"/>
  <c r="A1786" i="34"/>
  <c r="U1791" i="34"/>
  <c r="Z1791" i="34"/>
  <c r="A1791" i="34"/>
  <c r="U1798" i="34"/>
  <c r="Z1798" i="34"/>
  <c r="A1798" i="34"/>
  <c r="U1802" i="34"/>
  <c r="Z1802" i="34"/>
  <c r="A1802" i="34"/>
  <c r="U1806" i="34"/>
  <c r="Z1806" i="34"/>
  <c r="A1806" i="34"/>
  <c r="U1810" i="34"/>
  <c r="Z1810" i="34"/>
  <c r="A1810" i="34"/>
  <c r="U1814" i="34"/>
  <c r="Z1814" i="34"/>
  <c r="A1814" i="34"/>
  <c r="U1818" i="34"/>
  <c r="Z1818" i="34"/>
  <c r="A1818" i="34"/>
  <c r="U1822" i="34"/>
  <c r="Z1822" i="34"/>
  <c r="A1822" i="34"/>
  <c r="U1826" i="34"/>
  <c r="Z1826" i="34"/>
  <c r="A1826" i="34"/>
  <c r="U1830" i="34"/>
  <c r="Z1830" i="34"/>
  <c r="A1830" i="34"/>
  <c r="U1834" i="34"/>
  <c r="Z1834" i="34"/>
  <c r="A1834" i="34"/>
  <c r="U1838" i="34"/>
  <c r="Z1838" i="34"/>
  <c r="A1838" i="34"/>
  <c r="U1842" i="34"/>
  <c r="Z1842" i="34"/>
  <c r="A1842" i="34"/>
  <c r="U1846" i="34"/>
  <c r="Z1846" i="34"/>
  <c r="A1846" i="34"/>
  <c r="U1850" i="34"/>
  <c r="Z1850" i="34"/>
  <c r="A1850" i="34"/>
  <c r="U1854" i="34"/>
  <c r="Z1854" i="34"/>
  <c r="A1854" i="34"/>
  <c r="U1858" i="34"/>
  <c r="Z1858" i="34"/>
  <c r="A1858" i="34"/>
  <c r="B1002" i="34"/>
  <c r="B1001" i="34"/>
  <c r="B998" i="34"/>
  <c r="B997" i="34"/>
  <c r="B996" i="34"/>
  <c r="B995" i="34"/>
  <c r="B994" i="34"/>
  <c r="B992" i="34"/>
  <c r="B991" i="34"/>
  <c r="B990" i="34"/>
  <c r="B989" i="34"/>
  <c r="B988" i="34"/>
  <c r="B987" i="34"/>
  <c r="B986" i="34"/>
  <c r="B985" i="34"/>
  <c r="B984" i="34"/>
  <c r="B983" i="34"/>
  <c r="B982" i="34"/>
  <c r="B980" i="34"/>
  <c r="B979" i="34"/>
  <c r="B978" i="34"/>
  <c r="B977" i="34"/>
  <c r="B976" i="34"/>
  <c r="B974" i="34"/>
  <c r="B973" i="34"/>
  <c r="B972" i="34"/>
  <c r="B968" i="34"/>
  <c r="B967" i="34"/>
  <c r="B953" i="34"/>
  <c r="B952" i="34"/>
  <c r="B951" i="34"/>
  <c r="B950" i="34"/>
  <c r="B949" i="34"/>
  <c r="B948" i="34"/>
  <c r="B947" i="34"/>
  <c r="B946" i="34"/>
  <c r="B945" i="34"/>
  <c r="B944" i="34"/>
  <c r="B897" i="34"/>
  <c r="B896" i="34"/>
  <c r="B895" i="34"/>
  <c r="B894" i="34"/>
  <c r="B893" i="34"/>
  <c r="B892" i="34"/>
  <c r="B891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5" i="34"/>
  <c r="B874" i="34"/>
  <c r="B873" i="34"/>
  <c r="B864" i="34"/>
  <c r="B863" i="34"/>
  <c r="B862" i="34"/>
  <c r="B861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28" i="34"/>
  <c r="B827" i="34"/>
  <c r="B826" i="34"/>
  <c r="B825" i="34"/>
  <c r="B824" i="34"/>
  <c r="B823" i="34"/>
  <c r="B821" i="34"/>
  <c r="B820" i="34"/>
  <c r="B819" i="34"/>
  <c r="B818" i="34"/>
  <c r="B817" i="34"/>
  <c r="B816" i="34"/>
  <c r="B815" i="34"/>
  <c r="B814" i="34"/>
  <c r="B813" i="34"/>
  <c r="B812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75" i="34"/>
  <c r="B774" i="34"/>
  <c r="B773" i="34"/>
  <c r="B772" i="34"/>
  <c r="B771" i="34"/>
  <c r="B763" i="34"/>
  <c r="B762" i="34"/>
  <c r="B760" i="34"/>
  <c r="B759" i="34"/>
  <c r="B758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33" i="34"/>
  <c r="B732" i="34"/>
  <c r="B731" i="34"/>
  <c r="B730" i="34"/>
  <c r="B729" i="34"/>
  <c r="B728" i="34"/>
  <c r="B727" i="34"/>
  <c r="B725" i="34"/>
  <c r="B724" i="34"/>
  <c r="B723" i="34"/>
  <c r="B722" i="34"/>
  <c r="B721" i="34"/>
  <c r="B720" i="34"/>
  <c r="B719" i="34"/>
  <c r="B717" i="34"/>
  <c r="B716" i="34"/>
  <c r="B715" i="34"/>
  <c r="B714" i="34"/>
  <c r="B713" i="34"/>
  <c r="B712" i="34"/>
  <c r="B711" i="34"/>
  <c r="B710" i="34"/>
  <c r="B709" i="34"/>
  <c r="B708" i="34"/>
  <c r="B704" i="34"/>
  <c r="B703" i="34"/>
  <c r="B702" i="34"/>
  <c r="B701" i="34"/>
  <c r="B700" i="34"/>
  <c r="B323" i="34"/>
  <c r="B327" i="34"/>
  <c r="B328" i="34"/>
  <c r="B330" i="34"/>
  <c r="B331" i="34"/>
  <c r="B332" i="34"/>
  <c r="B333" i="34"/>
  <c r="B334" i="34"/>
  <c r="B341" i="34"/>
  <c r="B342" i="34"/>
  <c r="B343" i="34"/>
  <c r="B344" i="34"/>
  <c r="B345" i="34"/>
  <c r="B346" i="34"/>
  <c r="B347" i="34"/>
  <c r="B348" i="34"/>
  <c r="B390" i="34"/>
  <c r="B391" i="34"/>
  <c r="B392" i="34"/>
  <c r="B394" i="34"/>
  <c r="B395" i="34"/>
  <c r="B397" i="34"/>
  <c r="B398" i="34"/>
  <c r="B399" i="34"/>
  <c r="B401" i="34"/>
  <c r="B402" i="34"/>
  <c r="B415" i="34"/>
  <c r="B416" i="34"/>
  <c r="B417" i="34"/>
  <c r="B418" i="34"/>
  <c r="B429" i="34"/>
  <c r="B430" i="34"/>
  <c r="B435" i="34"/>
  <c r="B436" i="34"/>
  <c r="B438" i="34"/>
  <c r="B439" i="34"/>
  <c r="B440" i="34"/>
  <c r="B441" i="34"/>
  <c r="B454" i="34"/>
  <c r="B458" i="34"/>
  <c r="B459" i="34"/>
  <c r="B460" i="34"/>
  <c r="B476" i="34"/>
  <c r="B477" i="34"/>
  <c r="B478" i="34"/>
  <c r="B480" i="34"/>
  <c r="B481" i="34"/>
  <c r="B484" i="34"/>
  <c r="B485" i="34"/>
  <c r="B490" i="34"/>
  <c r="B491" i="34"/>
  <c r="B492" i="34"/>
  <c r="B494" i="34"/>
  <c r="B495" i="34"/>
  <c r="B496" i="34"/>
  <c r="B498" i="34"/>
  <c r="B499" i="34"/>
  <c r="B536" i="34"/>
  <c r="B537" i="34"/>
  <c r="B543" i="34"/>
  <c r="B544" i="34"/>
  <c r="B545" i="34"/>
  <c r="B546" i="34"/>
  <c r="B547" i="34"/>
  <c r="B550" i="34"/>
  <c r="B551" i="34"/>
  <c r="B554" i="34"/>
  <c r="B555" i="34"/>
  <c r="B556" i="34"/>
  <c r="B558" i="34"/>
  <c r="B559" i="34"/>
  <c r="B582" i="34"/>
  <c r="B583" i="34"/>
  <c r="B584" i="34"/>
  <c r="B658" i="34"/>
  <c r="B659" i="34"/>
  <c r="B660" i="34"/>
  <c r="B666" i="34"/>
  <c r="B667" i="34"/>
  <c r="B669" i="34"/>
  <c r="B670" i="34"/>
  <c r="B671" i="34"/>
  <c r="B673" i="34"/>
  <c r="B674" i="34"/>
  <c r="B675" i="34"/>
  <c r="B676" i="34"/>
  <c r="B677" i="34"/>
  <c r="B678" i="34"/>
  <c r="B681" i="34"/>
  <c r="B682" i="34"/>
  <c r="B683" i="34"/>
  <c r="B684" i="34"/>
  <c r="B686" i="34"/>
  <c r="B687" i="34"/>
  <c r="B705" i="34"/>
  <c r="B706" i="34"/>
  <c r="B735" i="34"/>
  <c r="B736" i="34"/>
  <c r="B738" i="34"/>
  <c r="B739" i="34"/>
  <c r="B740" i="34"/>
  <c r="B741" i="34"/>
  <c r="B742" i="34"/>
  <c r="B765" i="34"/>
  <c r="B766" i="34"/>
  <c r="B767" i="34"/>
  <c r="B768" i="34"/>
  <c r="B776" i="34"/>
  <c r="B777" i="34"/>
  <c r="B778" i="34"/>
  <c r="B779" i="34"/>
  <c r="B780" i="34"/>
  <c r="B781" i="34"/>
  <c r="B782" i="34"/>
  <c r="B783" i="34"/>
  <c r="B802" i="34"/>
  <c r="B803" i="34"/>
  <c r="B804" i="34"/>
  <c r="B805" i="34"/>
  <c r="B808" i="34"/>
  <c r="B809" i="34"/>
  <c r="B810" i="34"/>
  <c r="B811" i="34"/>
  <c r="B829" i="34"/>
  <c r="B830" i="34"/>
  <c r="B831" i="34"/>
  <c r="B833" i="34"/>
  <c r="B834" i="34"/>
  <c r="B836" i="34"/>
  <c r="B837" i="34"/>
  <c r="B838" i="34"/>
  <c r="B839" i="34"/>
  <c r="B840" i="34"/>
  <c r="B841" i="34"/>
  <c r="B842" i="34"/>
  <c r="B322" i="34"/>
  <c r="B900" i="34"/>
  <c r="B899" i="34"/>
  <c r="B898" i="34"/>
  <c r="B871" i="34"/>
  <c r="B870" i="34"/>
  <c r="B867" i="34"/>
  <c r="B866" i="34"/>
  <c r="B859" i="34"/>
  <c r="B858" i="34"/>
  <c r="B857" i="34"/>
  <c r="B1085" i="34"/>
  <c r="B1084" i="34"/>
  <c r="B1059" i="34"/>
  <c r="B1058" i="34"/>
  <c r="B1024" i="34"/>
  <c r="B1023" i="34"/>
  <c r="B1022" i="34"/>
  <c r="B1021" i="34"/>
  <c r="B1018" i="34"/>
  <c r="B1017" i="34"/>
  <c r="B1016" i="34"/>
  <c r="B1015" i="34"/>
  <c r="B1000" i="34"/>
  <c r="B999" i="34"/>
  <c r="B965" i="34"/>
  <c r="B964" i="34"/>
  <c r="B963" i="34"/>
  <c r="B962" i="34"/>
  <c r="B961" i="34"/>
  <c r="B959" i="34"/>
  <c r="B958" i="34"/>
  <c r="B956" i="34"/>
  <c r="B955" i="34"/>
  <c r="B935" i="34"/>
  <c r="B934" i="34"/>
  <c r="B933" i="34"/>
  <c r="B1223" i="34"/>
  <c r="B1222" i="34"/>
  <c r="B1186" i="34"/>
  <c r="B1185" i="34"/>
  <c r="B1184" i="34"/>
  <c r="B1183" i="34"/>
  <c r="B1182" i="34"/>
  <c r="B1181" i="34"/>
  <c r="B1179" i="34"/>
  <c r="B1178" i="34"/>
  <c r="B1177" i="34"/>
  <c r="B1176" i="34"/>
  <c r="B1174" i="34"/>
  <c r="B1173" i="34"/>
  <c r="B1171" i="34"/>
  <c r="B1170" i="34"/>
  <c r="B1164" i="34"/>
  <c r="B1163" i="34"/>
  <c r="B1155" i="34"/>
  <c r="B1154" i="34"/>
  <c r="B1140" i="34"/>
  <c r="B1101" i="34"/>
  <c r="B1089" i="34"/>
  <c r="B1088" i="34"/>
  <c r="B1087" i="34"/>
  <c r="B1331" i="34"/>
  <c r="B1329" i="34"/>
  <c r="B1328" i="34"/>
  <c r="B1316" i="34"/>
  <c r="B1306" i="34"/>
  <c r="B1305" i="34"/>
  <c r="B1297" i="34"/>
  <c r="B1296" i="34"/>
  <c r="B1293" i="34"/>
  <c r="B1292" i="34"/>
  <c r="B1290" i="34"/>
  <c r="B1289" i="34"/>
  <c r="B1288" i="34"/>
  <c r="B1237" i="34"/>
  <c r="B1236" i="34"/>
  <c r="B1235" i="34"/>
  <c r="B1234" i="34"/>
  <c r="B1233" i="34"/>
  <c r="B1232" i="34"/>
  <c r="B1230" i="34"/>
  <c r="B1229" i="34"/>
  <c r="B1228" i="34"/>
  <c r="B1227" i="34"/>
  <c r="B1226" i="34"/>
  <c r="B1225" i="34"/>
  <c r="B1408" i="34"/>
  <c r="B1407" i="34"/>
  <c r="B1406" i="34"/>
  <c r="B1405" i="34"/>
  <c r="B1404" i="34"/>
  <c r="B1402" i="34"/>
  <c r="B1401" i="34"/>
  <c r="B1400" i="34"/>
  <c r="B1394" i="34"/>
  <c r="B1393" i="34"/>
  <c r="B1364" i="34"/>
  <c r="B1363" i="34"/>
  <c r="B1361" i="34"/>
  <c r="B1360" i="34"/>
  <c r="B1359" i="34"/>
  <c r="B1356" i="34"/>
  <c r="B1355" i="34"/>
  <c r="B1350" i="34"/>
  <c r="B1349" i="34"/>
  <c r="B1348" i="34"/>
  <c r="B1347" i="34"/>
  <c r="B1345" i="34"/>
  <c r="B1344" i="34"/>
  <c r="B1336" i="34"/>
  <c r="B1335" i="34"/>
  <c r="B1333" i="34"/>
  <c r="B1332" i="34"/>
  <c r="B1512" i="34"/>
  <c r="B1511" i="34"/>
  <c r="B1510" i="34"/>
  <c r="B1509" i="34"/>
  <c r="B1508" i="34"/>
  <c r="B1507" i="34"/>
  <c r="B1505" i="34"/>
  <c r="B1504" i="34"/>
  <c r="B1503" i="34"/>
  <c r="B1501" i="34"/>
  <c r="B1500" i="34"/>
  <c r="B1499" i="34"/>
  <c r="B1498" i="34"/>
  <c r="B1497" i="34"/>
  <c r="B1496" i="34"/>
  <c r="B1495" i="34"/>
  <c r="B1480" i="34"/>
  <c r="B1479" i="34"/>
  <c r="B1471" i="34"/>
  <c r="B1470" i="34"/>
  <c r="B1450" i="34"/>
  <c r="B1449" i="34"/>
  <c r="B1448" i="34"/>
  <c r="B1447" i="34"/>
  <c r="B1446" i="34"/>
  <c r="B2432" i="34"/>
  <c r="B2431" i="34"/>
  <c r="B2430" i="34"/>
  <c r="B2429" i="34"/>
  <c r="B2428" i="34"/>
  <c r="B2427" i="34"/>
  <c r="B2426" i="34"/>
  <c r="B2425" i="34"/>
  <c r="B2424" i="34"/>
  <c r="B2423" i="34"/>
  <c r="B1572" i="34"/>
  <c r="B1571" i="34"/>
  <c r="B1570" i="34"/>
  <c r="B1569" i="34"/>
  <c r="B1567" i="34"/>
  <c r="B319" i="34"/>
  <c r="B317" i="34"/>
  <c r="B307" i="34"/>
  <c r="B1566" i="34"/>
  <c r="B1565" i="34"/>
  <c r="B1550" i="34"/>
  <c r="B1549" i="34"/>
  <c r="B1525" i="34"/>
  <c r="B1524" i="34"/>
  <c r="B1523" i="34"/>
  <c r="B2458" i="34"/>
  <c r="B2457" i="34"/>
  <c r="B2456" i="34"/>
  <c r="B2455" i="34"/>
  <c r="B2454" i="34"/>
  <c r="B2453" i="34"/>
  <c r="B2361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661" i="34"/>
  <c r="B2569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464" i="34"/>
  <c r="B2463" i="34"/>
  <c r="B2462" i="34"/>
  <c r="B2461" i="34"/>
  <c r="B2460" i="34"/>
  <c r="B2459" i="34"/>
  <c r="B2106" i="34"/>
  <c r="B2662" i="34"/>
  <c r="B2216" i="34"/>
  <c r="B2215" i="34"/>
  <c r="B2214" i="34"/>
  <c r="B2213" i="34"/>
  <c r="U2216" i="34" l="1"/>
  <c r="Z2216" i="34"/>
  <c r="A2216" i="34"/>
  <c r="U2569" i="34"/>
  <c r="Z2569" i="34"/>
  <c r="A2569" i="34"/>
  <c r="U2451" i="34"/>
  <c r="Z2451" i="34"/>
  <c r="A2451" i="34"/>
  <c r="U1569" i="34"/>
  <c r="Z1569" i="34"/>
  <c r="A1569" i="34"/>
  <c r="U1471" i="34"/>
  <c r="Z1471" i="34"/>
  <c r="A1471" i="34"/>
  <c r="U1505" i="34"/>
  <c r="Z1505" i="34"/>
  <c r="A1505" i="34"/>
  <c r="U1345" i="34"/>
  <c r="Z1345" i="34"/>
  <c r="A1345" i="34"/>
  <c r="U1393" i="34"/>
  <c r="Z1393" i="34"/>
  <c r="A1393" i="34"/>
  <c r="U1407" i="34"/>
  <c r="Z1407" i="34"/>
  <c r="A1407" i="34"/>
  <c r="U1232" i="34"/>
  <c r="Z1232" i="34"/>
  <c r="A1232" i="34"/>
  <c r="U1290" i="34"/>
  <c r="Z1290" i="34"/>
  <c r="A1290" i="34"/>
  <c r="U1328" i="34"/>
  <c r="Z1328" i="34"/>
  <c r="A1328" i="34"/>
  <c r="U1154" i="34"/>
  <c r="Z1154" i="34"/>
  <c r="A1154" i="34"/>
  <c r="U1176" i="34"/>
  <c r="Z1176" i="34"/>
  <c r="A1176" i="34"/>
  <c r="U1185" i="34"/>
  <c r="Z1185" i="34"/>
  <c r="A1185" i="34"/>
  <c r="U956" i="34"/>
  <c r="Z956" i="34"/>
  <c r="A956" i="34"/>
  <c r="U999" i="34"/>
  <c r="Z999" i="34"/>
  <c r="A999" i="34"/>
  <c r="U1023" i="34"/>
  <c r="Z1023" i="34"/>
  <c r="A1023" i="34"/>
  <c r="U859" i="34"/>
  <c r="Z859" i="34"/>
  <c r="A859" i="34"/>
  <c r="U322" i="34"/>
  <c r="Z322" i="34"/>
  <c r="A322" i="34"/>
  <c r="U834" i="34"/>
  <c r="Z834" i="34"/>
  <c r="A834" i="34"/>
  <c r="U808" i="34"/>
  <c r="Z808" i="34"/>
  <c r="A808" i="34"/>
  <c r="U780" i="34"/>
  <c r="Z780" i="34"/>
  <c r="A780" i="34"/>
  <c r="U765" i="34"/>
  <c r="Z765" i="34"/>
  <c r="A765" i="34"/>
  <c r="U706" i="34"/>
  <c r="Z706" i="34"/>
  <c r="A706" i="34"/>
  <c r="U678" i="34"/>
  <c r="Z678" i="34"/>
  <c r="A678" i="34"/>
  <c r="U669" i="34"/>
  <c r="Z669" i="34"/>
  <c r="A669" i="34"/>
  <c r="U582" i="34"/>
  <c r="Z582" i="34"/>
  <c r="A582" i="34"/>
  <c r="U547" i="34"/>
  <c r="Z547" i="34"/>
  <c r="A547" i="34"/>
  <c r="U498" i="34"/>
  <c r="Z498" i="34"/>
  <c r="A498" i="34"/>
  <c r="U484" i="34"/>
  <c r="Z484" i="34"/>
  <c r="A484" i="34"/>
  <c r="U458" i="34"/>
  <c r="Z458" i="34"/>
  <c r="A458" i="34"/>
  <c r="U416" i="34"/>
  <c r="Z416" i="34"/>
  <c r="A416" i="34"/>
  <c r="U394" i="34"/>
  <c r="Z394" i="34"/>
  <c r="A394" i="34"/>
  <c r="U344" i="34"/>
  <c r="Z344" i="34"/>
  <c r="A344" i="34"/>
  <c r="U330" i="34"/>
  <c r="Z330" i="34"/>
  <c r="A330" i="34"/>
  <c r="U704" i="34"/>
  <c r="Z704" i="34"/>
  <c r="A704" i="34"/>
  <c r="U715" i="34"/>
  <c r="Z715" i="34"/>
  <c r="A715" i="34"/>
  <c r="U724" i="34"/>
  <c r="Z724" i="34"/>
  <c r="A724" i="34"/>
  <c r="U733" i="34"/>
  <c r="Z733" i="34"/>
  <c r="A733" i="34"/>
  <c r="U750" i="34"/>
  <c r="Z750" i="34"/>
  <c r="A750" i="34"/>
  <c r="U760" i="34"/>
  <c r="Z760" i="34"/>
  <c r="A760" i="34"/>
  <c r="U785" i="34"/>
  <c r="Z785" i="34"/>
  <c r="A785" i="34"/>
  <c r="U793" i="34"/>
  <c r="Z793" i="34"/>
  <c r="A793" i="34"/>
  <c r="U812" i="34"/>
  <c r="Z812" i="34"/>
  <c r="A812" i="34"/>
  <c r="U820" i="34"/>
  <c r="Z820" i="34"/>
  <c r="A820" i="34"/>
  <c r="R844" i="34"/>
  <c r="S844" i="34"/>
  <c r="T844" i="34"/>
  <c r="U844" i="34"/>
  <c r="Z844" i="34"/>
  <c r="A844" i="34"/>
  <c r="U852" i="34"/>
  <c r="Z852" i="34"/>
  <c r="A852" i="34"/>
  <c r="U864" i="34"/>
  <c r="Z864" i="34"/>
  <c r="A864" i="34"/>
  <c r="R881" i="34"/>
  <c r="S881" i="34"/>
  <c r="T881" i="34"/>
  <c r="U881" i="34"/>
  <c r="Z881" i="34"/>
  <c r="A881" i="34"/>
  <c r="U889" i="34"/>
  <c r="Z889" i="34"/>
  <c r="A889" i="34"/>
  <c r="U944" i="34"/>
  <c r="Z944" i="34"/>
  <c r="A944" i="34"/>
  <c r="U952" i="34"/>
  <c r="Z952" i="34"/>
  <c r="A952" i="34"/>
  <c r="U977" i="34"/>
  <c r="Z977" i="34"/>
  <c r="A977" i="34"/>
  <c r="U990" i="34"/>
  <c r="Z990" i="34"/>
  <c r="A990" i="34"/>
  <c r="U2460" i="34"/>
  <c r="Z2460" i="34"/>
  <c r="A2460" i="34"/>
  <c r="U2657" i="34"/>
  <c r="Z2657" i="34"/>
  <c r="A2657" i="34"/>
  <c r="U2443" i="34"/>
  <c r="Z2443" i="34"/>
  <c r="A2443" i="34"/>
  <c r="U1549" i="34"/>
  <c r="Z1549" i="34"/>
  <c r="A1549" i="34"/>
  <c r="U2431" i="34"/>
  <c r="Z2431" i="34"/>
  <c r="A2431" i="34"/>
  <c r="U1500" i="34"/>
  <c r="Z1500" i="34"/>
  <c r="A1500" i="34"/>
  <c r="U1510" i="34"/>
  <c r="Z1510" i="34"/>
  <c r="A1510" i="34"/>
  <c r="U1360" i="34"/>
  <c r="Z1360" i="34"/>
  <c r="A1360" i="34"/>
  <c r="U1402" i="34"/>
  <c r="Z1402" i="34"/>
  <c r="A1402" i="34"/>
  <c r="U1227" i="34"/>
  <c r="Z1227" i="34"/>
  <c r="A1227" i="34"/>
  <c r="U1236" i="34"/>
  <c r="Z1236" i="34"/>
  <c r="A1236" i="34"/>
  <c r="U1297" i="34"/>
  <c r="Z1297" i="34"/>
  <c r="A1297" i="34"/>
  <c r="U1088" i="34"/>
  <c r="Z1088" i="34"/>
  <c r="A1088" i="34"/>
  <c r="U1170" i="34"/>
  <c r="Z1170" i="34"/>
  <c r="A1170" i="34"/>
  <c r="U1181" i="34"/>
  <c r="Z1181" i="34"/>
  <c r="A1181" i="34"/>
  <c r="U933" i="34"/>
  <c r="Z933" i="34"/>
  <c r="A933" i="34"/>
  <c r="U962" i="34"/>
  <c r="Z962" i="34"/>
  <c r="A962" i="34"/>
  <c r="U1017" i="34"/>
  <c r="Z1017" i="34"/>
  <c r="A1017" i="34"/>
  <c r="U1084" i="34"/>
  <c r="Z1084" i="34"/>
  <c r="A1084" i="34"/>
  <c r="U871" i="34"/>
  <c r="Z871" i="34"/>
  <c r="A871" i="34"/>
  <c r="U839" i="34"/>
  <c r="Z839" i="34"/>
  <c r="A839" i="34"/>
  <c r="U829" i="34"/>
  <c r="Z829" i="34"/>
  <c r="A829" i="34"/>
  <c r="U802" i="34"/>
  <c r="Z802" i="34"/>
  <c r="A802" i="34"/>
  <c r="U776" i="34"/>
  <c r="Z776" i="34"/>
  <c r="A776" i="34"/>
  <c r="U739" i="34"/>
  <c r="Z739" i="34"/>
  <c r="A739" i="34"/>
  <c r="U684" i="34"/>
  <c r="Z684" i="34"/>
  <c r="A684" i="34"/>
  <c r="U674" i="34"/>
  <c r="Z674" i="34"/>
  <c r="A674" i="34"/>
  <c r="U659" i="34"/>
  <c r="Z659" i="34"/>
  <c r="A659" i="34"/>
  <c r="U555" i="34"/>
  <c r="Z555" i="34"/>
  <c r="A555" i="34"/>
  <c r="U543" i="34"/>
  <c r="Z543" i="34"/>
  <c r="A543" i="34"/>
  <c r="U492" i="34"/>
  <c r="Z492" i="34"/>
  <c r="A492" i="34"/>
  <c r="U477" i="34"/>
  <c r="Z477" i="34"/>
  <c r="A477" i="34"/>
  <c r="U439" i="34"/>
  <c r="Z439" i="34"/>
  <c r="A439" i="34"/>
  <c r="U430" i="34"/>
  <c r="Z430" i="34"/>
  <c r="A430" i="34"/>
  <c r="U399" i="34"/>
  <c r="Z399" i="34"/>
  <c r="A399" i="34"/>
  <c r="U348" i="34"/>
  <c r="Z348" i="34"/>
  <c r="A348" i="34"/>
  <c r="U334" i="34"/>
  <c r="Z334" i="34"/>
  <c r="A334" i="34"/>
  <c r="U700" i="34"/>
  <c r="Z700" i="34"/>
  <c r="A700" i="34"/>
  <c r="U711" i="34"/>
  <c r="Z711" i="34"/>
  <c r="A711" i="34"/>
  <c r="U720" i="34"/>
  <c r="Z720" i="34"/>
  <c r="A720" i="34"/>
  <c r="U729" i="34"/>
  <c r="Z729" i="34"/>
  <c r="A729" i="34"/>
  <c r="U746" i="34"/>
  <c r="Z746" i="34"/>
  <c r="A746" i="34"/>
  <c r="U756" i="34"/>
  <c r="Z756" i="34"/>
  <c r="A756" i="34"/>
  <c r="U772" i="34"/>
  <c r="Z772" i="34"/>
  <c r="A772" i="34"/>
  <c r="U789" i="34"/>
  <c r="Z789" i="34"/>
  <c r="A789" i="34"/>
  <c r="U797" i="34"/>
  <c r="Z797" i="34"/>
  <c r="R797" i="34"/>
  <c r="S797" i="34"/>
  <c r="T797" i="34"/>
  <c r="A797" i="34"/>
  <c r="U816" i="34"/>
  <c r="Z816" i="34"/>
  <c r="A816" i="34"/>
  <c r="U825" i="34"/>
  <c r="Z825" i="34"/>
  <c r="A825" i="34"/>
  <c r="U848" i="34"/>
  <c r="Z848" i="34"/>
  <c r="A848" i="34"/>
  <c r="U856" i="34"/>
  <c r="Z856" i="34"/>
  <c r="A856" i="34"/>
  <c r="R877" i="34"/>
  <c r="S877" i="34"/>
  <c r="T877" i="34"/>
  <c r="U877" i="34"/>
  <c r="Z877" i="34"/>
  <c r="A877" i="34"/>
  <c r="U885" i="34"/>
  <c r="Z885" i="34"/>
  <c r="A885" i="34"/>
  <c r="U894" i="34"/>
  <c r="Z894" i="34"/>
  <c r="A894" i="34"/>
  <c r="U948" i="34"/>
  <c r="Z948" i="34"/>
  <c r="A948" i="34"/>
  <c r="U972" i="34"/>
  <c r="Z972" i="34"/>
  <c r="A972" i="34"/>
  <c r="T982" i="34"/>
  <c r="U982" i="34"/>
  <c r="Z982" i="34"/>
  <c r="R982" i="34"/>
  <c r="S982" i="34"/>
  <c r="A982" i="34"/>
  <c r="T986" i="34"/>
  <c r="U986" i="34"/>
  <c r="Z986" i="34"/>
  <c r="R986" i="34"/>
  <c r="S986" i="34"/>
  <c r="A986" i="34"/>
  <c r="U995" i="34"/>
  <c r="Z995" i="34"/>
  <c r="A995" i="34"/>
  <c r="U1001" i="34"/>
  <c r="Z1001" i="34"/>
  <c r="A1001" i="34"/>
  <c r="U2213" i="34"/>
  <c r="Z2213" i="34"/>
  <c r="A2213" i="34"/>
  <c r="U2662" i="34"/>
  <c r="Z2662" i="34"/>
  <c r="A2662" i="34"/>
  <c r="U2461" i="34"/>
  <c r="Z2461" i="34"/>
  <c r="A2461" i="34"/>
  <c r="U2642" i="34"/>
  <c r="Z2642" i="34"/>
  <c r="A2642" i="34"/>
  <c r="U2646" i="34"/>
  <c r="Z2646" i="34"/>
  <c r="A2646" i="34"/>
  <c r="U2650" i="34"/>
  <c r="Z2650" i="34"/>
  <c r="A2650" i="34"/>
  <c r="U2654" i="34"/>
  <c r="Z2654" i="34"/>
  <c r="A2654" i="34"/>
  <c r="U2658" i="34"/>
  <c r="Z2658" i="34"/>
  <c r="A2658" i="34"/>
  <c r="U2661" i="34"/>
  <c r="Z2661" i="34"/>
  <c r="A2661" i="34"/>
  <c r="U2436" i="34"/>
  <c r="Z2436" i="34"/>
  <c r="A2436" i="34"/>
  <c r="U2440" i="34"/>
  <c r="Z2440" i="34"/>
  <c r="A2440" i="34"/>
  <c r="U2444" i="34"/>
  <c r="Z2444" i="34"/>
  <c r="A2444" i="34"/>
  <c r="U2448" i="34"/>
  <c r="Z2448" i="34"/>
  <c r="A2448" i="34"/>
  <c r="U2452" i="34"/>
  <c r="Z2452" i="34"/>
  <c r="A2452" i="34"/>
  <c r="U2455" i="34"/>
  <c r="Z2455" i="34"/>
  <c r="A2455" i="34"/>
  <c r="U1523" i="34"/>
  <c r="Z1523" i="34"/>
  <c r="A1523" i="34"/>
  <c r="U1550" i="34"/>
  <c r="Z1550" i="34"/>
  <c r="A1550" i="34"/>
  <c r="U317" i="34"/>
  <c r="Z317" i="34"/>
  <c r="A317" i="34"/>
  <c r="U1570" i="34"/>
  <c r="Z1570" i="34"/>
  <c r="A1570" i="34"/>
  <c r="U2424" i="34"/>
  <c r="Z2424" i="34"/>
  <c r="A2424" i="34"/>
  <c r="U2428" i="34"/>
  <c r="Z2428" i="34"/>
  <c r="A2428" i="34"/>
  <c r="U2432" i="34"/>
  <c r="Z2432" i="34"/>
  <c r="A2432" i="34"/>
  <c r="U1449" i="34"/>
  <c r="Z1449" i="34"/>
  <c r="A1449" i="34"/>
  <c r="U1479" i="34"/>
  <c r="Z1479" i="34"/>
  <c r="A1479" i="34"/>
  <c r="U1497" i="34"/>
  <c r="Z1497" i="34"/>
  <c r="A1497" i="34"/>
  <c r="U1501" i="34"/>
  <c r="Z1501" i="34"/>
  <c r="A1501" i="34"/>
  <c r="U1507" i="34"/>
  <c r="Z1507" i="34"/>
  <c r="A1507" i="34"/>
  <c r="U1511" i="34"/>
  <c r="Z1511" i="34"/>
  <c r="A1511" i="34"/>
  <c r="U1335" i="34"/>
  <c r="Z1335" i="34"/>
  <c r="A1335" i="34"/>
  <c r="U1347" i="34"/>
  <c r="Z1347" i="34"/>
  <c r="A1347" i="34"/>
  <c r="U1355" i="34"/>
  <c r="Z1355" i="34"/>
  <c r="A1355" i="34"/>
  <c r="U1361" i="34"/>
  <c r="Z1361" i="34"/>
  <c r="A1361" i="34"/>
  <c r="U1394" i="34"/>
  <c r="Z1394" i="34"/>
  <c r="A1394" i="34"/>
  <c r="U1404" i="34"/>
  <c r="Z1404" i="34"/>
  <c r="A1404" i="34"/>
  <c r="U1408" i="34"/>
  <c r="Z1408" i="34"/>
  <c r="A1408" i="34"/>
  <c r="U1228" i="34"/>
  <c r="Z1228" i="34"/>
  <c r="A1228" i="34"/>
  <c r="U1233" i="34"/>
  <c r="Z1233" i="34"/>
  <c r="A1233" i="34"/>
  <c r="U1237" i="34"/>
  <c r="Z1237" i="34"/>
  <c r="A1237" i="34"/>
  <c r="U1292" i="34"/>
  <c r="Z1292" i="34"/>
  <c r="A1292" i="34"/>
  <c r="U1305" i="34"/>
  <c r="Z1305" i="34"/>
  <c r="A1305" i="34"/>
  <c r="U1329" i="34"/>
  <c r="Z1329" i="34"/>
  <c r="A1329" i="34"/>
  <c r="U1089" i="34"/>
  <c r="Z1089" i="34"/>
  <c r="A1089" i="34"/>
  <c r="U1155" i="34"/>
  <c r="Z1155" i="34"/>
  <c r="A1155" i="34"/>
  <c r="U1171" i="34"/>
  <c r="Z1171" i="34"/>
  <c r="A1171" i="34"/>
  <c r="U1177" i="34"/>
  <c r="Z1177" i="34"/>
  <c r="A1177" i="34"/>
  <c r="U1182" i="34"/>
  <c r="Z1182" i="34"/>
  <c r="A1182" i="34"/>
  <c r="U1186" i="34"/>
  <c r="Z1186" i="34"/>
  <c r="A1186" i="34"/>
  <c r="U934" i="34"/>
  <c r="Z934" i="34"/>
  <c r="A934" i="34"/>
  <c r="U958" i="34"/>
  <c r="Z958" i="34"/>
  <c r="A958" i="34"/>
  <c r="U963" i="34"/>
  <c r="Z963" i="34"/>
  <c r="A963" i="34"/>
  <c r="U1000" i="34"/>
  <c r="Z1000" i="34"/>
  <c r="A1000" i="34"/>
  <c r="U1018" i="34"/>
  <c r="Z1018" i="34"/>
  <c r="A1018" i="34"/>
  <c r="U1024" i="34"/>
  <c r="Z1024" i="34"/>
  <c r="A1024" i="34"/>
  <c r="U1085" i="34"/>
  <c r="Z1085" i="34"/>
  <c r="A1085" i="34"/>
  <c r="U866" i="34"/>
  <c r="Z866" i="34"/>
  <c r="A866" i="34"/>
  <c r="U898" i="34"/>
  <c r="Z898" i="34"/>
  <c r="A898" i="34"/>
  <c r="U842" i="34"/>
  <c r="Z842" i="34"/>
  <c r="A842" i="34"/>
  <c r="U838" i="34"/>
  <c r="Z838" i="34"/>
  <c r="A838" i="34"/>
  <c r="U833" i="34"/>
  <c r="Z833" i="34"/>
  <c r="A833" i="34"/>
  <c r="U811" i="34"/>
  <c r="Z811" i="34"/>
  <c r="A811" i="34"/>
  <c r="U805" i="34"/>
  <c r="Z805" i="34"/>
  <c r="A805" i="34"/>
  <c r="U783" i="34"/>
  <c r="Z783" i="34"/>
  <c r="A783" i="34"/>
  <c r="U779" i="34"/>
  <c r="Z779" i="34"/>
  <c r="A779" i="34"/>
  <c r="U768" i="34"/>
  <c r="Z768" i="34"/>
  <c r="A768" i="34"/>
  <c r="U742" i="34"/>
  <c r="Z742" i="34"/>
  <c r="A742" i="34"/>
  <c r="U738" i="34"/>
  <c r="Z738" i="34"/>
  <c r="A738" i="34"/>
  <c r="U705" i="34"/>
  <c r="Z705" i="34"/>
  <c r="A705" i="34"/>
  <c r="U683" i="34"/>
  <c r="Z683" i="34"/>
  <c r="A683" i="34"/>
  <c r="U677" i="34"/>
  <c r="Z677" i="34"/>
  <c r="A677" i="34"/>
  <c r="U673" i="34"/>
  <c r="Z673" i="34"/>
  <c r="A673" i="34"/>
  <c r="U667" i="34"/>
  <c r="Z667" i="34"/>
  <c r="A667" i="34"/>
  <c r="U658" i="34"/>
  <c r="Z658" i="34"/>
  <c r="A658" i="34"/>
  <c r="U559" i="34"/>
  <c r="Z559" i="34"/>
  <c r="A559" i="34"/>
  <c r="U554" i="34"/>
  <c r="Z554" i="34"/>
  <c r="A554" i="34"/>
  <c r="U546" i="34"/>
  <c r="Z546" i="34"/>
  <c r="A546" i="34"/>
  <c r="U537" i="34"/>
  <c r="Z537" i="34"/>
  <c r="A537" i="34"/>
  <c r="U496" i="34"/>
  <c r="Z496" i="34"/>
  <c r="A496" i="34"/>
  <c r="U491" i="34"/>
  <c r="Z491" i="34"/>
  <c r="A491" i="34"/>
  <c r="U481" i="34"/>
  <c r="Z481" i="34"/>
  <c r="A481" i="34"/>
  <c r="U476" i="34"/>
  <c r="Z476" i="34"/>
  <c r="A476" i="34"/>
  <c r="U454" i="34"/>
  <c r="Z454" i="34"/>
  <c r="A454" i="34"/>
  <c r="U438" i="34"/>
  <c r="Z438" i="34"/>
  <c r="A438" i="34"/>
  <c r="U429" i="34"/>
  <c r="Z429" i="34"/>
  <c r="A429" i="34"/>
  <c r="U415" i="34"/>
  <c r="Z415" i="34"/>
  <c r="A415" i="34"/>
  <c r="U398" i="34"/>
  <c r="Z398" i="34"/>
  <c r="A398" i="34"/>
  <c r="U392" i="34"/>
  <c r="Z392" i="34"/>
  <c r="A392" i="34"/>
  <c r="U347" i="34"/>
  <c r="Z347" i="34"/>
  <c r="A347" i="34"/>
  <c r="U343" i="34"/>
  <c r="Z343" i="34"/>
  <c r="A343" i="34"/>
  <c r="U333" i="34"/>
  <c r="Z333" i="34"/>
  <c r="A333" i="34"/>
  <c r="U328" i="34"/>
  <c r="Z328" i="34"/>
  <c r="A328" i="34"/>
  <c r="U701" i="34"/>
  <c r="Z701" i="34"/>
  <c r="A701" i="34"/>
  <c r="U708" i="34"/>
  <c r="Z708" i="34"/>
  <c r="R708" i="34"/>
  <c r="S708" i="34"/>
  <c r="T708" i="34"/>
  <c r="A708" i="34"/>
  <c r="U712" i="34"/>
  <c r="Z712" i="34"/>
  <c r="A712" i="34"/>
  <c r="U716" i="34"/>
  <c r="Z716" i="34"/>
  <c r="A716" i="34"/>
  <c r="U721" i="34"/>
  <c r="Z721" i="34"/>
  <c r="A721" i="34"/>
  <c r="U725" i="34"/>
  <c r="Z725" i="34"/>
  <c r="A725" i="34"/>
  <c r="U730" i="34"/>
  <c r="Z730" i="34"/>
  <c r="A730" i="34"/>
  <c r="U743" i="34"/>
  <c r="Z743" i="34"/>
  <c r="A743" i="34"/>
  <c r="U747" i="34"/>
  <c r="Z747" i="34"/>
  <c r="A747" i="34"/>
  <c r="U751" i="34"/>
  <c r="Z751" i="34"/>
  <c r="A751" i="34"/>
  <c r="U757" i="34"/>
  <c r="Z757" i="34"/>
  <c r="A757" i="34"/>
  <c r="U762" i="34"/>
  <c r="Z762" i="34"/>
  <c r="A762" i="34"/>
  <c r="U773" i="34"/>
  <c r="Z773" i="34"/>
  <c r="A773" i="34"/>
  <c r="U786" i="34"/>
  <c r="Z786" i="34"/>
  <c r="A786" i="34"/>
  <c r="U790" i="34"/>
  <c r="Z790" i="34"/>
  <c r="A790" i="34"/>
  <c r="U794" i="34"/>
  <c r="Z794" i="34"/>
  <c r="T794" i="34"/>
  <c r="R794" i="34"/>
  <c r="S794" i="34"/>
  <c r="A794" i="34"/>
  <c r="U798" i="34"/>
  <c r="Z798" i="34"/>
  <c r="A798" i="34"/>
  <c r="U813" i="34"/>
  <c r="Z813" i="34"/>
  <c r="A813" i="34"/>
  <c r="U817" i="34"/>
  <c r="Z817" i="34"/>
  <c r="A817" i="34"/>
  <c r="U821" i="34"/>
  <c r="Z821" i="34"/>
  <c r="A821" i="34"/>
  <c r="U826" i="34"/>
  <c r="Z826" i="34"/>
  <c r="A826" i="34"/>
  <c r="R845" i="34"/>
  <c r="S845" i="34"/>
  <c r="T845" i="34"/>
  <c r="U845" i="34"/>
  <c r="Z845" i="34"/>
  <c r="A845" i="34"/>
  <c r="U849" i="34"/>
  <c r="Z849" i="34"/>
  <c r="A849" i="34"/>
  <c r="U853" i="34"/>
  <c r="Z853" i="34"/>
  <c r="A853" i="34"/>
  <c r="U861" i="34"/>
  <c r="Z861" i="34"/>
  <c r="A861" i="34"/>
  <c r="U873" i="34"/>
  <c r="Z873" i="34"/>
  <c r="A873" i="34"/>
  <c r="R878" i="34"/>
  <c r="S878" i="34"/>
  <c r="T878" i="34"/>
  <c r="U878" i="34"/>
  <c r="Z878" i="34"/>
  <c r="A878" i="34"/>
  <c r="R882" i="34"/>
  <c r="S882" i="34"/>
  <c r="T882" i="34"/>
  <c r="U882" i="34"/>
  <c r="Z882" i="34"/>
  <c r="A882" i="34"/>
  <c r="U886" i="34"/>
  <c r="Z886" i="34"/>
  <c r="A886" i="34"/>
  <c r="U891" i="34"/>
  <c r="Z891" i="34"/>
  <c r="A891" i="34"/>
  <c r="U895" i="34"/>
  <c r="Z895" i="34"/>
  <c r="A895" i="34"/>
  <c r="U945" i="34"/>
  <c r="Z945" i="34"/>
  <c r="A945" i="34"/>
  <c r="U949" i="34"/>
  <c r="Z949" i="34"/>
  <c r="A949" i="34"/>
  <c r="U953" i="34"/>
  <c r="Z953" i="34"/>
  <c r="A953" i="34"/>
  <c r="U973" i="34"/>
  <c r="Z973" i="34"/>
  <c r="A973" i="34"/>
  <c r="U978" i="34"/>
  <c r="Z978" i="34"/>
  <c r="A978" i="34"/>
  <c r="T983" i="34"/>
  <c r="U983" i="34"/>
  <c r="Z983" i="34"/>
  <c r="R983" i="34"/>
  <c r="S983" i="34"/>
  <c r="A983" i="34"/>
  <c r="U987" i="34"/>
  <c r="Z987" i="34"/>
  <c r="A987" i="34"/>
  <c r="U991" i="34"/>
  <c r="Z991" i="34"/>
  <c r="A991" i="34"/>
  <c r="U996" i="34"/>
  <c r="Z996" i="34"/>
  <c r="A996" i="34"/>
  <c r="U1002" i="34"/>
  <c r="Z1002" i="34"/>
  <c r="A1002" i="34"/>
  <c r="U2645" i="34"/>
  <c r="Z2645" i="34"/>
  <c r="A2645" i="34"/>
  <c r="U2653" i="34"/>
  <c r="Z2653" i="34"/>
  <c r="A2653" i="34"/>
  <c r="U2435" i="34"/>
  <c r="Z2435" i="34"/>
  <c r="A2435" i="34"/>
  <c r="U2447" i="34"/>
  <c r="Z2447" i="34"/>
  <c r="A2447" i="34"/>
  <c r="U2458" i="34"/>
  <c r="Z2458" i="34"/>
  <c r="A2458" i="34"/>
  <c r="U2427" i="34"/>
  <c r="Z2427" i="34"/>
  <c r="A2427" i="34"/>
  <c r="U1496" i="34"/>
  <c r="Z1496" i="34"/>
  <c r="A1496" i="34"/>
  <c r="U1333" i="34"/>
  <c r="Z1333" i="34"/>
  <c r="A1333" i="34"/>
  <c r="U2214" i="34"/>
  <c r="Z2214" i="34"/>
  <c r="A2214" i="34"/>
  <c r="U2462" i="34"/>
  <c r="Z2462" i="34"/>
  <c r="A2462" i="34"/>
  <c r="U2647" i="34"/>
  <c r="Z2647" i="34"/>
  <c r="A2647" i="34"/>
  <c r="U2655" i="34"/>
  <c r="Z2655" i="34"/>
  <c r="A2655" i="34"/>
  <c r="U2437" i="34"/>
  <c r="Z2437" i="34"/>
  <c r="A2437" i="34"/>
  <c r="U2445" i="34"/>
  <c r="Z2445" i="34"/>
  <c r="A2445" i="34"/>
  <c r="U2361" i="34"/>
  <c r="Z2361" i="34"/>
  <c r="A2361" i="34"/>
  <c r="U1565" i="34"/>
  <c r="Z1565" i="34"/>
  <c r="A1565" i="34"/>
  <c r="U1571" i="34"/>
  <c r="Z1571" i="34"/>
  <c r="A1571" i="34"/>
  <c r="U2429" i="34"/>
  <c r="Z2429" i="34"/>
  <c r="A2429" i="34"/>
  <c r="U1450" i="34"/>
  <c r="Z1450" i="34"/>
  <c r="A1450" i="34"/>
  <c r="U1498" i="34"/>
  <c r="Z1498" i="34"/>
  <c r="A1498" i="34"/>
  <c r="U1508" i="34"/>
  <c r="Z1508" i="34"/>
  <c r="A1508" i="34"/>
  <c r="U1336" i="34"/>
  <c r="Z1336" i="34"/>
  <c r="A1336" i="34"/>
  <c r="U1356" i="34"/>
  <c r="Z1356" i="34"/>
  <c r="A1356" i="34"/>
  <c r="U1405" i="34"/>
  <c r="Z1405" i="34"/>
  <c r="A1405" i="34"/>
  <c r="U1229" i="34"/>
  <c r="Z1229" i="34"/>
  <c r="A1229" i="34"/>
  <c r="U1288" i="34"/>
  <c r="Z1288" i="34"/>
  <c r="A1288" i="34"/>
  <c r="U1306" i="34"/>
  <c r="Z1306" i="34"/>
  <c r="A1306" i="34"/>
  <c r="U1101" i="34"/>
  <c r="Z1101" i="34"/>
  <c r="A1101" i="34"/>
  <c r="U1173" i="34"/>
  <c r="Z1173" i="34"/>
  <c r="A1173" i="34"/>
  <c r="U1183" i="34"/>
  <c r="Z1183" i="34"/>
  <c r="A1183" i="34"/>
  <c r="U935" i="34"/>
  <c r="Z935" i="34"/>
  <c r="A935" i="34"/>
  <c r="U964" i="34"/>
  <c r="Z964" i="34"/>
  <c r="A964" i="34"/>
  <c r="U1021" i="34"/>
  <c r="Z1021" i="34"/>
  <c r="A1021" i="34"/>
  <c r="U857" i="34"/>
  <c r="Z857" i="34"/>
  <c r="A857" i="34"/>
  <c r="U899" i="34"/>
  <c r="Z899" i="34"/>
  <c r="A899" i="34"/>
  <c r="U837" i="34"/>
  <c r="Z837" i="34"/>
  <c r="A837" i="34"/>
  <c r="U810" i="34"/>
  <c r="Z810" i="34"/>
  <c r="A810" i="34"/>
  <c r="U782" i="34"/>
  <c r="Z782" i="34"/>
  <c r="A782" i="34"/>
  <c r="U767" i="34"/>
  <c r="Z767" i="34"/>
  <c r="A767" i="34"/>
  <c r="U736" i="34"/>
  <c r="Z736" i="34"/>
  <c r="A736" i="34"/>
  <c r="U682" i="34"/>
  <c r="Z682" i="34"/>
  <c r="A682" i="34"/>
  <c r="U666" i="34"/>
  <c r="Z666" i="34"/>
  <c r="A666" i="34"/>
  <c r="U558" i="34"/>
  <c r="Z558" i="34"/>
  <c r="A558" i="34"/>
  <c r="U536" i="34"/>
  <c r="Z536" i="34"/>
  <c r="A536" i="34"/>
  <c r="U490" i="34"/>
  <c r="Z490" i="34"/>
  <c r="A490" i="34"/>
  <c r="U460" i="34"/>
  <c r="Z460" i="34"/>
  <c r="A460" i="34"/>
  <c r="U436" i="34"/>
  <c r="Z436" i="34"/>
  <c r="A436" i="34"/>
  <c r="U402" i="34"/>
  <c r="Z402" i="34"/>
  <c r="A402" i="34"/>
  <c r="U391" i="34"/>
  <c r="Z391" i="34"/>
  <c r="A391" i="34"/>
  <c r="U342" i="34"/>
  <c r="Z342" i="34"/>
  <c r="A342" i="34"/>
  <c r="U327" i="34"/>
  <c r="Z327" i="34"/>
  <c r="A327" i="34"/>
  <c r="U709" i="34"/>
  <c r="Z709" i="34"/>
  <c r="R709" i="34"/>
  <c r="S709" i="34"/>
  <c r="T709" i="34"/>
  <c r="A709" i="34"/>
  <c r="U717" i="34"/>
  <c r="Z717" i="34"/>
  <c r="A717" i="34"/>
  <c r="U731" i="34"/>
  <c r="Z731" i="34"/>
  <c r="A731" i="34"/>
  <c r="U748" i="34"/>
  <c r="Z748" i="34"/>
  <c r="A748" i="34"/>
  <c r="U758" i="34"/>
  <c r="Z758" i="34"/>
  <c r="A758" i="34"/>
  <c r="U774" i="34"/>
  <c r="Z774" i="34"/>
  <c r="A774" i="34"/>
  <c r="U791" i="34"/>
  <c r="Z791" i="34"/>
  <c r="A791" i="34"/>
  <c r="U799" i="34"/>
  <c r="Z799" i="34"/>
  <c r="A799" i="34"/>
  <c r="U818" i="34"/>
  <c r="Z818" i="34"/>
  <c r="A818" i="34"/>
  <c r="U827" i="34"/>
  <c r="Z827" i="34"/>
  <c r="A827" i="34"/>
  <c r="U850" i="34"/>
  <c r="Z850" i="34"/>
  <c r="A850" i="34"/>
  <c r="U874" i="34"/>
  <c r="Z874" i="34"/>
  <c r="A874" i="34"/>
  <c r="R883" i="34"/>
  <c r="S883" i="34"/>
  <c r="T883" i="34"/>
  <c r="U883" i="34"/>
  <c r="Z883" i="34"/>
  <c r="A883" i="34"/>
  <c r="U887" i="34"/>
  <c r="Z887" i="34"/>
  <c r="A887" i="34"/>
  <c r="U896" i="34"/>
  <c r="Z896" i="34"/>
  <c r="A896" i="34"/>
  <c r="U950" i="34"/>
  <c r="Z950" i="34"/>
  <c r="A950" i="34"/>
  <c r="U974" i="34"/>
  <c r="Z974" i="34"/>
  <c r="A974" i="34"/>
  <c r="T984" i="34"/>
  <c r="U984" i="34"/>
  <c r="Z984" i="34"/>
  <c r="R984" i="34"/>
  <c r="S984" i="34"/>
  <c r="A984" i="34"/>
  <c r="U997" i="34"/>
  <c r="Z997" i="34"/>
  <c r="A997" i="34"/>
  <c r="U2464" i="34"/>
  <c r="Z2464" i="34"/>
  <c r="A2464" i="34"/>
  <c r="U2649" i="34"/>
  <c r="Z2649" i="34"/>
  <c r="A2649" i="34"/>
  <c r="U2439" i="34"/>
  <c r="Z2439" i="34"/>
  <c r="A2439" i="34"/>
  <c r="U2454" i="34"/>
  <c r="Z2454" i="34"/>
  <c r="A2454" i="34"/>
  <c r="U307" i="34"/>
  <c r="Z307" i="34"/>
  <c r="A307" i="34"/>
  <c r="U2423" i="34"/>
  <c r="Z2423" i="34"/>
  <c r="A2423" i="34"/>
  <c r="U1448" i="34"/>
  <c r="Z1448" i="34"/>
  <c r="A1448" i="34"/>
  <c r="U1350" i="34"/>
  <c r="Z1350" i="34"/>
  <c r="A1350" i="34"/>
  <c r="U2106" i="34"/>
  <c r="Z2106" i="34"/>
  <c r="A2106" i="34"/>
  <c r="U2643" i="34"/>
  <c r="Z2643" i="34"/>
  <c r="A2643" i="34"/>
  <c r="U2651" i="34"/>
  <c r="Z2651" i="34"/>
  <c r="A2651" i="34"/>
  <c r="U2659" i="34"/>
  <c r="Z2659" i="34"/>
  <c r="A2659" i="34"/>
  <c r="U2433" i="34"/>
  <c r="Z2433" i="34"/>
  <c r="A2433" i="34"/>
  <c r="U2441" i="34"/>
  <c r="Z2441" i="34"/>
  <c r="A2441" i="34"/>
  <c r="U2449" i="34"/>
  <c r="Z2449" i="34"/>
  <c r="A2449" i="34"/>
  <c r="U2456" i="34"/>
  <c r="Z2456" i="34"/>
  <c r="A2456" i="34"/>
  <c r="U1524" i="34"/>
  <c r="Z1524" i="34"/>
  <c r="A1524" i="34"/>
  <c r="U319" i="34"/>
  <c r="Z319" i="34"/>
  <c r="A319" i="34"/>
  <c r="U2425" i="34"/>
  <c r="Z2425" i="34"/>
  <c r="A2425" i="34"/>
  <c r="U1446" i="34"/>
  <c r="Z1446" i="34"/>
  <c r="A1446" i="34"/>
  <c r="U1480" i="34"/>
  <c r="Z1480" i="34"/>
  <c r="A1480" i="34"/>
  <c r="U1503" i="34"/>
  <c r="Z1503" i="34"/>
  <c r="A1503" i="34"/>
  <c r="U1512" i="34"/>
  <c r="Z1512" i="34"/>
  <c r="A1512" i="34"/>
  <c r="U1348" i="34"/>
  <c r="Z1348" i="34"/>
  <c r="A1348" i="34"/>
  <c r="U1363" i="34"/>
  <c r="Z1363" i="34"/>
  <c r="A1363" i="34"/>
  <c r="U1400" i="34"/>
  <c r="Z1400" i="34"/>
  <c r="A1400" i="34"/>
  <c r="U1225" i="34"/>
  <c r="Z1225" i="34"/>
  <c r="A1225" i="34"/>
  <c r="U1234" i="34"/>
  <c r="Z1234" i="34"/>
  <c r="A1234" i="34"/>
  <c r="U1293" i="34"/>
  <c r="Z1293" i="34"/>
  <c r="A1293" i="34"/>
  <c r="U1331" i="34"/>
  <c r="Z1331" i="34"/>
  <c r="A1331" i="34"/>
  <c r="U1163" i="34"/>
  <c r="Z1163" i="34"/>
  <c r="A1163" i="34"/>
  <c r="U1178" i="34"/>
  <c r="Z1178" i="34"/>
  <c r="A1178" i="34"/>
  <c r="U1222" i="34"/>
  <c r="Z1222" i="34"/>
  <c r="A1222" i="34"/>
  <c r="U959" i="34"/>
  <c r="Z959" i="34"/>
  <c r="A959" i="34"/>
  <c r="U1015" i="34"/>
  <c r="Z1015" i="34"/>
  <c r="A1015" i="34"/>
  <c r="U1058" i="34"/>
  <c r="Z1058" i="34"/>
  <c r="A1058" i="34"/>
  <c r="U867" i="34"/>
  <c r="Z867" i="34"/>
  <c r="A867" i="34"/>
  <c r="U841" i="34"/>
  <c r="Z841" i="34"/>
  <c r="A841" i="34"/>
  <c r="U831" i="34"/>
  <c r="Z831" i="34"/>
  <c r="A831" i="34"/>
  <c r="U804" i="34"/>
  <c r="Z804" i="34"/>
  <c r="A804" i="34"/>
  <c r="U778" i="34"/>
  <c r="Z778" i="34"/>
  <c r="A778" i="34"/>
  <c r="U741" i="34"/>
  <c r="Z741" i="34"/>
  <c r="A741" i="34"/>
  <c r="U687" i="34"/>
  <c r="Z687" i="34"/>
  <c r="A687" i="34"/>
  <c r="U676" i="34"/>
  <c r="Z676" i="34"/>
  <c r="A676" i="34"/>
  <c r="U671" i="34"/>
  <c r="Z671" i="34"/>
  <c r="A671" i="34"/>
  <c r="U584" i="34"/>
  <c r="Z584" i="34"/>
  <c r="A584" i="34"/>
  <c r="U551" i="34"/>
  <c r="Z551" i="34"/>
  <c r="A551" i="34"/>
  <c r="U545" i="34"/>
  <c r="Z545" i="34"/>
  <c r="A545" i="34"/>
  <c r="U495" i="34"/>
  <c r="Z495" i="34"/>
  <c r="A495" i="34"/>
  <c r="U480" i="34"/>
  <c r="Z480" i="34"/>
  <c r="A480" i="34"/>
  <c r="U441" i="34"/>
  <c r="Z441" i="34"/>
  <c r="A441" i="34"/>
  <c r="U418" i="34"/>
  <c r="Z418" i="34"/>
  <c r="A418" i="34"/>
  <c r="U397" i="34"/>
  <c r="Z397" i="34"/>
  <c r="A397" i="34"/>
  <c r="U346" i="34"/>
  <c r="Z346" i="34"/>
  <c r="A346" i="34"/>
  <c r="U332" i="34"/>
  <c r="Z332" i="34"/>
  <c r="A332" i="34"/>
  <c r="U702" i="34"/>
  <c r="Z702" i="34"/>
  <c r="A702" i="34"/>
  <c r="U713" i="34"/>
  <c r="Z713" i="34"/>
  <c r="A713" i="34"/>
  <c r="U722" i="34"/>
  <c r="Z722" i="34"/>
  <c r="A722" i="34"/>
  <c r="U727" i="34"/>
  <c r="Z727" i="34"/>
  <c r="A727" i="34"/>
  <c r="U744" i="34"/>
  <c r="Z744" i="34"/>
  <c r="A744" i="34"/>
  <c r="U754" i="34"/>
  <c r="Z754" i="34"/>
  <c r="A754" i="34"/>
  <c r="U763" i="34"/>
  <c r="Z763" i="34"/>
  <c r="A763" i="34"/>
  <c r="U787" i="34"/>
  <c r="Z787" i="34"/>
  <c r="A787" i="34"/>
  <c r="U795" i="34"/>
  <c r="Z795" i="34"/>
  <c r="S795" i="34"/>
  <c r="T795" i="34"/>
  <c r="R795" i="34"/>
  <c r="A795" i="34"/>
  <c r="U814" i="34"/>
  <c r="Z814" i="34"/>
  <c r="A814" i="34"/>
  <c r="U823" i="34"/>
  <c r="Z823" i="34"/>
  <c r="A823" i="34"/>
  <c r="U846" i="34"/>
  <c r="Z846" i="34"/>
  <c r="A846" i="34"/>
  <c r="U854" i="34"/>
  <c r="Z854" i="34"/>
  <c r="A854" i="34"/>
  <c r="U862" i="34"/>
  <c r="Z862" i="34"/>
  <c r="A862" i="34"/>
  <c r="R879" i="34"/>
  <c r="S879" i="34"/>
  <c r="T879" i="34"/>
  <c r="U879" i="34"/>
  <c r="Z879" i="34"/>
  <c r="A879" i="34"/>
  <c r="U892" i="34"/>
  <c r="Z892" i="34"/>
  <c r="A892" i="34"/>
  <c r="U946" i="34"/>
  <c r="Z946" i="34"/>
  <c r="A946" i="34"/>
  <c r="U967" i="34"/>
  <c r="Z967" i="34"/>
  <c r="A967" i="34"/>
  <c r="U979" i="34"/>
  <c r="Z979" i="34"/>
  <c r="A979" i="34"/>
  <c r="U988" i="34"/>
  <c r="Z988" i="34"/>
  <c r="A988" i="34"/>
  <c r="U992" i="34"/>
  <c r="Z992" i="34"/>
  <c r="A992" i="34"/>
  <c r="U2215" i="34"/>
  <c r="Z2215" i="34"/>
  <c r="A2215" i="34"/>
  <c r="U2459" i="34"/>
  <c r="Z2459" i="34"/>
  <c r="A2459" i="34"/>
  <c r="U2463" i="34"/>
  <c r="Z2463" i="34"/>
  <c r="A2463" i="34"/>
  <c r="U2644" i="34"/>
  <c r="Z2644" i="34"/>
  <c r="A2644" i="34"/>
  <c r="U2648" i="34"/>
  <c r="Z2648" i="34"/>
  <c r="A2648" i="34"/>
  <c r="U2652" i="34"/>
  <c r="Z2652" i="34"/>
  <c r="A2652" i="34"/>
  <c r="U2656" i="34"/>
  <c r="Z2656" i="34"/>
  <c r="A2656" i="34"/>
  <c r="U2660" i="34"/>
  <c r="Z2660" i="34"/>
  <c r="A2660" i="34"/>
  <c r="U2434" i="34"/>
  <c r="Z2434" i="34"/>
  <c r="A2434" i="34"/>
  <c r="U2438" i="34"/>
  <c r="Z2438" i="34"/>
  <c r="A2438" i="34"/>
  <c r="U2442" i="34"/>
  <c r="Z2442" i="34"/>
  <c r="A2442" i="34"/>
  <c r="U2446" i="34"/>
  <c r="Z2446" i="34"/>
  <c r="A2446" i="34"/>
  <c r="U2450" i="34"/>
  <c r="Z2450" i="34"/>
  <c r="A2450" i="34"/>
  <c r="U2453" i="34"/>
  <c r="Z2453" i="34"/>
  <c r="A2453" i="34"/>
  <c r="U2457" i="34"/>
  <c r="Z2457" i="34"/>
  <c r="A2457" i="34"/>
  <c r="U1525" i="34"/>
  <c r="Z1525" i="34"/>
  <c r="A1525" i="34"/>
  <c r="U1566" i="34"/>
  <c r="Z1566" i="34"/>
  <c r="A1566" i="34"/>
  <c r="U1567" i="34"/>
  <c r="Z1567" i="34"/>
  <c r="A1567" i="34"/>
  <c r="U1572" i="34"/>
  <c r="Z1572" i="34"/>
  <c r="A1572" i="34"/>
  <c r="U2426" i="34"/>
  <c r="Z2426" i="34"/>
  <c r="A2426" i="34"/>
  <c r="U2430" i="34"/>
  <c r="Z2430" i="34"/>
  <c r="A2430" i="34"/>
  <c r="U1447" i="34"/>
  <c r="Z1447" i="34"/>
  <c r="A1447" i="34"/>
  <c r="U1470" i="34"/>
  <c r="Z1470" i="34"/>
  <c r="A1470" i="34"/>
  <c r="U1495" i="34"/>
  <c r="Z1495" i="34"/>
  <c r="A1495" i="34"/>
  <c r="U1499" i="34"/>
  <c r="Z1499" i="34"/>
  <c r="A1499" i="34"/>
  <c r="U1504" i="34"/>
  <c r="Z1504" i="34"/>
  <c r="A1504" i="34"/>
  <c r="U1509" i="34"/>
  <c r="Z1509" i="34"/>
  <c r="A1509" i="34"/>
  <c r="U1332" i="34"/>
  <c r="Z1332" i="34"/>
  <c r="A1332" i="34"/>
  <c r="U1344" i="34"/>
  <c r="Z1344" i="34"/>
  <c r="A1344" i="34"/>
  <c r="U1349" i="34"/>
  <c r="Z1349" i="34"/>
  <c r="A1349" i="34"/>
  <c r="U1359" i="34"/>
  <c r="Z1359" i="34"/>
  <c r="A1359" i="34"/>
  <c r="U1364" i="34"/>
  <c r="Z1364" i="34"/>
  <c r="A1364" i="34"/>
  <c r="U1401" i="34"/>
  <c r="Z1401" i="34"/>
  <c r="A1401" i="34"/>
  <c r="U1406" i="34"/>
  <c r="Z1406" i="34"/>
  <c r="A1406" i="34"/>
  <c r="U1226" i="34"/>
  <c r="Z1226" i="34"/>
  <c r="A1226" i="34"/>
  <c r="U1230" i="34"/>
  <c r="Z1230" i="34"/>
  <c r="A1230" i="34"/>
  <c r="U1235" i="34"/>
  <c r="Z1235" i="34"/>
  <c r="A1235" i="34"/>
  <c r="U1289" i="34"/>
  <c r="Z1289" i="34"/>
  <c r="A1289" i="34"/>
  <c r="U1296" i="34"/>
  <c r="Z1296" i="34"/>
  <c r="A1296" i="34"/>
  <c r="U1316" i="34"/>
  <c r="Z1316" i="34"/>
  <c r="A1316" i="34"/>
  <c r="U1087" i="34"/>
  <c r="Z1087" i="34"/>
  <c r="A1087" i="34"/>
  <c r="U1140" i="34"/>
  <c r="Z1140" i="34"/>
  <c r="A1140" i="34"/>
  <c r="U1164" i="34"/>
  <c r="Z1164" i="34"/>
  <c r="A1164" i="34"/>
  <c r="U1174" i="34"/>
  <c r="Z1174" i="34"/>
  <c r="A1174" i="34"/>
  <c r="U1179" i="34"/>
  <c r="Z1179" i="34"/>
  <c r="A1179" i="34"/>
  <c r="U1184" i="34"/>
  <c r="Z1184" i="34"/>
  <c r="A1184" i="34"/>
  <c r="U1223" i="34"/>
  <c r="Z1223" i="34"/>
  <c r="A1223" i="34"/>
  <c r="U955" i="34"/>
  <c r="Z955" i="34"/>
  <c r="A955" i="34"/>
  <c r="U961" i="34"/>
  <c r="Z961" i="34"/>
  <c r="A961" i="34"/>
  <c r="U965" i="34"/>
  <c r="Z965" i="34"/>
  <c r="A965" i="34"/>
  <c r="U1016" i="34"/>
  <c r="Z1016" i="34"/>
  <c r="A1016" i="34"/>
  <c r="U1022" i="34"/>
  <c r="Z1022" i="34"/>
  <c r="A1022" i="34"/>
  <c r="U1059" i="34"/>
  <c r="Z1059" i="34"/>
  <c r="A1059" i="34"/>
  <c r="U858" i="34"/>
  <c r="Z858" i="34"/>
  <c r="A858" i="34"/>
  <c r="U870" i="34"/>
  <c r="Z870" i="34"/>
  <c r="A870" i="34"/>
  <c r="U900" i="34"/>
  <c r="Z900" i="34"/>
  <c r="A900" i="34"/>
  <c r="U840" i="34"/>
  <c r="Z840" i="34"/>
  <c r="A840" i="34"/>
  <c r="U836" i="34"/>
  <c r="Z836" i="34"/>
  <c r="A836" i="34"/>
  <c r="U830" i="34"/>
  <c r="Z830" i="34"/>
  <c r="A830" i="34"/>
  <c r="U809" i="34"/>
  <c r="Z809" i="34"/>
  <c r="A809" i="34"/>
  <c r="U803" i="34"/>
  <c r="Z803" i="34"/>
  <c r="A803" i="34"/>
  <c r="U781" i="34"/>
  <c r="Z781" i="34"/>
  <c r="A781" i="34"/>
  <c r="U777" i="34"/>
  <c r="Z777" i="34"/>
  <c r="A777" i="34"/>
  <c r="U766" i="34"/>
  <c r="Z766" i="34"/>
  <c r="A766" i="34"/>
  <c r="U740" i="34"/>
  <c r="Z740" i="34"/>
  <c r="A740" i="34"/>
  <c r="U735" i="34"/>
  <c r="Z735" i="34"/>
  <c r="A735" i="34"/>
  <c r="U686" i="34"/>
  <c r="Z686" i="34"/>
  <c r="A686" i="34"/>
  <c r="U681" i="34"/>
  <c r="Z681" i="34"/>
  <c r="A681" i="34"/>
  <c r="U675" i="34"/>
  <c r="Z675" i="34"/>
  <c r="A675" i="34"/>
  <c r="U670" i="34"/>
  <c r="Z670" i="34"/>
  <c r="A670" i="34"/>
  <c r="U660" i="34"/>
  <c r="Z660" i="34"/>
  <c r="A660" i="34"/>
  <c r="U583" i="34"/>
  <c r="Z583" i="34"/>
  <c r="A583" i="34"/>
  <c r="U556" i="34"/>
  <c r="Z556" i="34"/>
  <c r="A556" i="34"/>
  <c r="U550" i="34"/>
  <c r="Z550" i="34"/>
  <c r="A550" i="34"/>
  <c r="U544" i="34"/>
  <c r="Z544" i="34"/>
  <c r="A544" i="34"/>
  <c r="U499" i="34"/>
  <c r="Z499" i="34"/>
  <c r="A499" i="34"/>
  <c r="U494" i="34"/>
  <c r="Z494" i="34"/>
  <c r="A494" i="34"/>
  <c r="U485" i="34"/>
  <c r="Z485" i="34"/>
  <c r="A485" i="34"/>
  <c r="U478" i="34"/>
  <c r="Z478" i="34"/>
  <c r="A478" i="34"/>
  <c r="U459" i="34"/>
  <c r="Z459" i="34"/>
  <c r="A459" i="34"/>
  <c r="U440" i="34"/>
  <c r="Z440" i="34"/>
  <c r="A440" i="34"/>
  <c r="U435" i="34"/>
  <c r="Z435" i="34"/>
  <c r="A435" i="34"/>
  <c r="U417" i="34"/>
  <c r="Z417" i="34"/>
  <c r="A417" i="34"/>
  <c r="U401" i="34"/>
  <c r="Z401" i="34"/>
  <c r="A401" i="34"/>
  <c r="U395" i="34"/>
  <c r="Z395" i="34"/>
  <c r="A395" i="34"/>
  <c r="U390" i="34"/>
  <c r="Z390" i="34"/>
  <c r="A390" i="34"/>
  <c r="U345" i="34"/>
  <c r="Z345" i="34"/>
  <c r="A345" i="34"/>
  <c r="U341" i="34"/>
  <c r="Z341" i="34"/>
  <c r="A341" i="34"/>
  <c r="U331" i="34"/>
  <c r="Z331" i="34"/>
  <c r="A331" i="34"/>
  <c r="U323" i="34"/>
  <c r="Z323" i="34"/>
  <c r="A323" i="34"/>
  <c r="U703" i="34"/>
  <c r="Z703" i="34"/>
  <c r="A703" i="34"/>
  <c r="U710" i="34"/>
  <c r="Z710" i="34"/>
  <c r="A710" i="34"/>
  <c r="U714" i="34"/>
  <c r="Z714" i="34"/>
  <c r="A714" i="34"/>
  <c r="U719" i="34"/>
  <c r="Z719" i="34"/>
  <c r="A719" i="34"/>
  <c r="U723" i="34"/>
  <c r="Z723" i="34"/>
  <c r="A723" i="34"/>
  <c r="U728" i="34"/>
  <c r="Z728" i="34"/>
  <c r="A728" i="34"/>
  <c r="U732" i="34"/>
  <c r="Z732" i="34"/>
  <c r="A732" i="34"/>
  <c r="U745" i="34"/>
  <c r="Z745" i="34"/>
  <c r="A745" i="34"/>
  <c r="U749" i="34"/>
  <c r="Z749" i="34"/>
  <c r="A749" i="34"/>
  <c r="U755" i="34"/>
  <c r="Z755" i="34"/>
  <c r="A755" i="34"/>
  <c r="U759" i="34"/>
  <c r="Z759" i="34"/>
  <c r="A759" i="34"/>
  <c r="U771" i="34"/>
  <c r="Z771" i="34"/>
  <c r="S771" i="34"/>
  <c r="T771" i="34"/>
  <c r="R771" i="34"/>
  <c r="A771" i="34"/>
  <c r="U775" i="34"/>
  <c r="Z775" i="34"/>
  <c r="A775" i="34"/>
  <c r="U788" i="34"/>
  <c r="Z788" i="34"/>
  <c r="A788" i="34"/>
  <c r="U792" i="34"/>
  <c r="Z792" i="34"/>
  <c r="A792" i="34"/>
  <c r="U796" i="34"/>
  <c r="Z796" i="34"/>
  <c r="R796" i="34"/>
  <c r="S796" i="34"/>
  <c r="T796" i="34"/>
  <c r="A796" i="34"/>
  <c r="U800" i="34"/>
  <c r="Z800" i="34"/>
  <c r="A800" i="34"/>
  <c r="U815" i="34"/>
  <c r="Z815" i="34"/>
  <c r="A815" i="34"/>
  <c r="U819" i="34"/>
  <c r="Z819" i="34"/>
  <c r="A819" i="34"/>
  <c r="U824" i="34"/>
  <c r="Z824" i="34"/>
  <c r="A824" i="34"/>
  <c r="U828" i="34"/>
  <c r="Z828" i="34"/>
  <c r="A828" i="34"/>
  <c r="U847" i="34"/>
  <c r="Z847" i="34"/>
  <c r="A847" i="34"/>
  <c r="U851" i="34"/>
  <c r="Z851" i="34"/>
  <c r="A851" i="34"/>
  <c r="U855" i="34"/>
  <c r="Z855" i="34"/>
  <c r="A855" i="34"/>
  <c r="U863" i="34"/>
  <c r="Z863" i="34"/>
  <c r="A863" i="34"/>
  <c r="U875" i="34"/>
  <c r="Z875" i="34"/>
  <c r="A875" i="34"/>
  <c r="R880" i="34"/>
  <c r="S880" i="34"/>
  <c r="T880" i="34"/>
  <c r="U880" i="34"/>
  <c r="Z880" i="34"/>
  <c r="A880" i="34"/>
  <c r="U884" i="34"/>
  <c r="Z884" i="34"/>
  <c r="A884" i="34"/>
  <c r="U888" i="34"/>
  <c r="Z888" i="34"/>
  <c r="A888" i="34"/>
  <c r="U893" i="34"/>
  <c r="Z893" i="34"/>
  <c r="A893" i="34"/>
  <c r="U897" i="34"/>
  <c r="Z897" i="34"/>
  <c r="A897" i="34"/>
  <c r="U947" i="34"/>
  <c r="Z947" i="34"/>
  <c r="A947" i="34"/>
  <c r="U951" i="34"/>
  <c r="Z951" i="34"/>
  <c r="A951" i="34"/>
  <c r="U968" i="34"/>
  <c r="Z968" i="34"/>
  <c r="A968" i="34"/>
  <c r="U976" i="34"/>
  <c r="Z976" i="34"/>
  <c r="A976" i="34"/>
  <c r="U980" i="34"/>
  <c r="Z980" i="34"/>
  <c r="A980" i="34"/>
  <c r="T985" i="34"/>
  <c r="U985" i="34"/>
  <c r="Z985" i="34"/>
  <c r="R985" i="34"/>
  <c r="S985" i="34"/>
  <c r="A985" i="34"/>
  <c r="U989" i="34"/>
  <c r="Z989" i="34"/>
  <c r="A989" i="34"/>
  <c r="U994" i="34"/>
  <c r="Z994" i="34"/>
  <c r="A994" i="34"/>
  <c r="U998" i="34"/>
  <c r="Z998" i="34"/>
  <c r="A998" i="34"/>
  <c r="B698" i="34"/>
  <c r="B699" i="34"/>
  <c r="B679" i="34"/>
  <c r="B691" i="34"/>
  <c r="B624" i="34"/>
  <c r="B625" i="34"/>
  <c r="B626" i="34"/>
  <c r="B627" i="34"/>
  <c r="B628" i="34"/>
  <c r="B629" i="34"/>
  <c r="B630" i="34"/>
  <c r="B631" i="34"/>
  <c r="B632" i="34"/>
  <c r="B633" i="34"/>
  <c r="B634" i="34"/>
  <c r="B636" i="34"/>
  <c r="B637" i="34"/>
  <c r="B638" i="34"/>
  <c r="B639" i="34"/>
  <c r="B640" i="34"/>
  <c r="B641" i="34"/>
  <c r="B642" i="34"/>
  <c r="B664" i="34"/>
  <c r="B665" i="34"/>
  <c r="B352" i="34"/>
  <c r="B353" i="34"/>
  <c r="B350" i="34"/>
  <c r="B351" i="34"/>
  <c r="B339" i="34"/>
  <c r="B340" i="34"/>
  <c r="B257" i="34"/>
  <c r="B258" i="34"/>
  <c r="B259" i="34"/>
  <c r="B260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304" i="34"/>
  <c r="B305" i="34"/>
  <c r="B318" i="34"/>
  <c r="B325" i="34"/>
  <c r="B326" i="34"/>
  <c r="U305" i="34" l="1"/>
  <c r="Z305" i="34"/>
  <c r="A305" i="34"/>
  <c r="U664" i="34"/>
  <c r="Z664" i="34"/>
  <c r="R664" i="34"/>
  <c r="S664" i="34"/>
  <c r="T664" i="34"/>
  <c r="A664" i="34"/>
  <c r="U272" i="34"/>
  <c r="Z272" i="34"/>
  <c r="A272" i="34"/>
  <c r="U350" i="34"/>
  <c r="Z350" i="34"/>
  <c r="A350" i="34"/>
  <c r="U634" i="34"/>
  <c r="Z634" i="34"/>
  <c r="A634" i="34"/>
  <c r="U679" i="34"/>
  <c r="Z679" i="34"/>
  <c r="T679" i="34"/>
  <c r="R679" i="34"/>
  <c r="S679" i="34"/>
  <c r="A679" i="34"/>
  <c r="U326" i="34"/>
  <c r="Z326" i="34"/>
  <c r="R326" i="34"/>
  <c r="S326" i="34"/>
  <c r="T326" i="34"/>
  <c r="A326" i="34"/>
  <c r="U304" i="34"/>
  <c r="Z304" i="34"/>
  <c r="A304" i="34"/>
  <c r="U275" i="34"/>
  <c r="Z275" i="34"/>
  <c r="A275" i="34"/>
  <c r="U271" i="34"/>
  <c r="Z271" i="34"/>
  <c r="A271" i="34"/>
  <c r="U267" i="34"/>
  <c r="Z267" i="34"/>
  <c r="A267" i="34"/>
  <c r="U260" i="34"/>
  <c r="Z260" i="34"/>
  <c r="A260" i="34"/>
  <c r="S340" i="34"/>
  <c r="T340" i="34"/>
  <c r="U340" i="34"/>
  <c r="Z340" i="34"/>
  <c r="R340" i="34"/>
  <c r="A340" i="34"/>
  <c r="U353" i="34"/>
  <c r="Z353" i="34"/>
  <c r="A353" i="34"/>
  <c r="U642" i="34"/>
  <c r="Z642" i="34"/>
  <c r="A642" i="34"/>
  <c r="U638" i="34"/>
  <c r="Z638" i="34"/>
  <c r="A638" i="34"/>
  <c r="U633" i="34"/>
  <c r="Z633" i="34"/>
  <c r="A633" i="34"/>
  <c r="U629" i="34"/>
  <c r="Z629" i="34"/>
  <c r="A629" i="34"/>
  <c r="U625" i="34"/>
  <c r="Z625" i="34"/>
  <c r="A625" i="34"/>
  <c r="U699" i="34"/>
  <c r="Z699" i="34"/>
  <c r="A699" i="34"/>
  <c r="U268" i="34"/>
  <c r="Z268" i="34"/>
  <c r="A268" i="34"/>
  <c r="U257" i="34"/>
  <c r="Z257" i="34"/>
  <c r="A257" i="34"/>
  <c r="U639" i="34"/>
  <c r="Z639" i="34"/>
  <c r="A639" i="34"/>
  <c r="U626" i="34"/>
  <c r="Z626" i="34"/>
  <c r="A626" i="34"/>
  <c r="U278" i="34"/>
  <c r="Z278" i="34"/>
  <c r="A278" i="34"/>
  <c r="U266" i="34"/>
  <c r="Z266" i="34"/>
  <c r="A266" i="34"/>
  <c r="S339" i="34"/>
  <c r="T339" i="34"/>
  <c r="U339" i="34"/>
  <c r="Z339" i="34"/>
  <c r="R339" i="34"/>
  <c r="A339" i="34"/>
  <c r="U641" i="34"/>
  <c r="Z641" i="34"/>
  <c r="A641" i="34"/>
  <c r="U628" i="34"/>
  <c r="Z628" i="34"/>
  <c r="A628" i="34"/>
  <c r="U276" i="34"/>
  <c r="Z276" i="34"/>
  <c r="A276" i="34"/>
  <c r="U264" i="34"/>
  <c r="Z264" i="34"/>
  <c r="A264" i="34"/>
  <c r="U630" i="34"/>
  <c r="Z630" i="34"/>
  <c r="A630" i="34"/>
  <c r="U325" i="34"/>
  <c r="Z325" i="34"/>
  <c r="R325" i="34"/>
  <c r="S325" i="34"/>
  <c r="T325" i="34"/>
  <c r="A325" i="34"/>
  <c r="U274" i="34"/>
  <c r="Z274" i="34"/>
  <c r="A274" i="34"/>
  <c r="U270" i="34"/>
  <c r="Z270" i="34"/>
  <c r="A270" i="34"/>
  <c r="U259" i="34"/>
  <c r="Z259" i="34"/>
  <c r="A259" i="34"/>
  <c r="U352" i="34"/>
  <c r="Z352" i="34"/>
  <c r="A352" i="34"/>
  <c r="U637" i="34"/>
  <c r="Z637" i="34"/>
  <c r="A637" i="34"/>
  <c r="U632" i="34"/>
  <c r="Z632" i="34"/>
  <c r="A632" i="34"/>
  <c r="U624" i="34"/>
  <c r="Z624" i="34"/>
  <c r="A624" i="34"/>
  <c r="U698" i="34"/>
  <c r="Z698" i="34"/>
  <c r="A698" i="34"/>
  <c r="U318" i="34"/>
  <c r="Z318" i="34"/>
  <c r="R318" i="34"/>
  <c r="S318" i="34"/>
  <c r="T318" i="34"/>
  <c r="A318" i="34"/>
  <c r="U277" i="34"/>
  <c r="Z277" i="34"/>
  <c r="A277" i="34"/>
  <c r="U273" i="34"/>
  <c r="Z273" i="34"/>
  <c r="A273" i="34"/>
  <c r="U269" i="34"/>
  <c r="Z269" i="34"/>
  <c r="A269" i="34"/>
  <c r="U265" i="34"/>
  <c r="Z265" i="34"/>
  <c r="A265" i="34"/>
  <c r="U258" i="34"/>
  <c r="Z258" i="34"/>
  <c r="A258" i="34"/>
  <c r="U351" i="34"/>
  <c r="Z351" i="34"/>
  <c r="A351" i="34"/>
  <c r="U665" i="34"/>
  <c r="Z665" i="34"/>
  <c r="R665" i="34"/>
  <c r="S665" i="34"/>
  <c r="T665" i="34"/>
  <c r="A665" i="34"/>
  <c r="U640" i="34"/>
  <c r="Z640" i="34"/>
  <c r="A640" i="34"/>
  <c r="U636" i="34"/>
  <c r="Z636" i="34"/>
  <c r="A636" i="34"/>
  <c r="U631" i="34"/>
  <c r="Z631" i="34"/>
  <c r="A631" i="34"/>
  <c r="U627" i="34"/>
  <c r="Z627" i="34"/>
  <c r="A627" i="34"/>
  <c r="U691" i="34"/>
  <c r="Z691" i="34"/>
  <c r="S691" i="34"/>
  <c r="T691" i="34"/>
  <c r="R691" i="34"/>
  <c r="A691" i="34"/>
  <c r="F343" i="55"/>
  <c r="F344" i="55" s="1"/>
  <c r="E343" i="55"/>
  <c r="T382" i="60"/>
  <c r="C382" i="60" s="1"/>
  <c r="T383" i="60"/>
  <c r="C383" i="60" s="1"/>
  <c r="B1483" i="34" l="1"/>
  <c r="B1474" i="34"/>
  <c r="B1464" i="34"/>
  <c r="B1423" i="34"/>
  <c r="B1418" i="34"/>
  <c r="B1397" i="34"/>
  <c r="U1423" i="34" l="1"/>
  <c r="Z1423" i="34"/>
  <c r="A1423" i="34"/>
  <c r="U1464" i="34"/>
  <c r="Z1464" i="34"/>
  <c r="A1464" i="34"/>
  <c r="U1397" i="34"/>
  <c r="Z1397" i="34"/>
  <c r="A1397" i="34"/>
  <c r="U1474" i="34"/>
  <c r="Z1474" i="34"/>
  <c r="A1474" i="34"/>
  <c r="U1418" i="34"/>
  <c r="Z1418" i="34"/>
  <c r="R1418" i="34"/>
  <c r="S1418" i="34"/>
  <c r="T1418" i="34"/>
  <c r="A1418" i="34"/>
  <c r="U1483" i="34"/>
  <c r="Z1483" i="34"/>
  <c r="A1483" i="34"/>
  <c r="B1354" i="34"/>
  <c r="B1300" i="34"/>
  <c r="B1287" i="34"/>
  <c r="U1354" i="34" l="1"/>
  <c r="Z1354" i="34"/>
  <c r="A1354" i="34"/>
  <c r="U1287" i="34"/>
  <c r="Z1287" i="34"/>
  <c r="A1287" i="34"/>
  <c r="U1300" i="34"/>
  <c r="Z1300" i="34"/>
  <c r="A1300" i="34"/>
  <c r="B383" i="34"/>
  <c r="B368" i="34"/>
  <c r="B57" i="34"/>
  <c r="B54" i="34"/>
  <c r="B28" i="34"/>
  <c r="B95" i="34"/>
  <c r="B174" i="34"/>
  <c r="B403" i="34"/>
  <c r="B524" i="34"/>
  <c r="U403" i="34" l="1"/>
  <c r="Z403" i="34"/>
  <c r="A403" i="34"/>
  <c r="U95" i="34"/>
  <c r="Z95" i="34"/>
  <c r="A95" i="34"/>
  <c r="U368" i="34"/>
  <c r="Z368" i="34"/>
  <c r="A368" i="34"/>
  <c r="U524" i="34"/>
  <c r="Z524" i="34"/>
  <c r="A524" i="34"/>
  <c r="U28" i="34"/>
  <c r="Z28" i="34"/>
  <c r="S28" i="34"/>
  <c r="T28" i="34"/>
  <c r="R28" i="34"/>
  <c r="A28" i="34"/>
  <c r="U383" i="34"/>
  <c r="Z383" i="34"/>
  <c r="A383" i="34"/>
  <c r="U54" i="34"/>
  <c r="Z54" i="34"/>
  <c r="S54" i="34"/>
  <c r="T54" i="34"/>
  <c r="R54" i="34"/>
  <c r="A54" i="34"/>
  <c r="U174" i="34"/>
  <c r="Z174" i="34"/>
  <c r="A174" i="34"/>
  <c r="U57" i="34"/>
  <c r="Z57" i="34"/>
  <c r="A57" i="34"/>
  <c r="O5" i="78"/>
  <c r="N5" i="78"/>
  <c r="B1038" i="34"/>
  <c r="B1034" i="34"/>
  <c r="B1030" i="34"/>
  <c r="R1034" i="34" l="1"/>
  <c r="S1034" i="34"/>
  <c r="T1034" i="34"/>
  <c r="U1034" i="34"/>
  <c r="Z1034" i="34"/>
  <c r="A1034" i="34"/>
  <c r="R1038" i="34"/>
  <c r="S1038" i="34"/>
  <c r="T1038" i="34"/>
  <c r="U1038" i="34"/>
  <c r="Z1038" i="34"/>
  <c r="A1038" i="34"/>
  <c r="U1030" i="34"/>
  <c r="Z1030" i="34"/>
  <c r="A1030" i="34"/>
  <c r="B1078" i="34"/>
  <c r="B1077" i="34"/>
  <c r="B1076" i="34"/>
  <c r="B1075" i="34"/>
  <c r="B1073" i="34"/>
  <c r="B1072" i="34"/>
  <c r="B1071" i="34"/>
  <c r="B1070" i="34"/>
  <c r="B1069" i="34"/>
  <c r="B1068" i="34"/>
  <c r="B1066" i="34"/>
  <c r="B1065" i="34"/>
  <c r="B1064" i="34"/>
  <c r="B1063" i="34"/>
  <c r="B1062" i="34"/>
  <c r="B1061" i="34"/>
  <c r="B1056" i="34"/>
  <c r="B1055" i="34"/>
  <c r="B1054" i="34"/>
  <c r="B1053" i="34"/>
  <c r="B1052" i="34"/>
  <c r="B1051" i="34"/>
  <c r="B1049" i="34"/>
  <c r="B1048" i="34"/>
  <c r="B1047" i="34"/>
  <c r="B1046" i="34"/>
  <c r="B1045" i="34"/>
  <c r="B1044" i="34"/>
  <c r="B1042" i="34"/>
  <c r="B1040" i="34"/>
  <c r="B1039" i="34"/>
  <c r="B1036" i="34"/>
  <c r="B1035" i="34"/>
  <c r="B1032" i="34"/>
  <c r="B1031" i="34"/>
  <c r="B1029" i="34"/>
  <c r="B1028" i="34"/>
  <c r="B102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0" i="34"/>
  <c r="B1249" i="34"/>
  <c r="B1247" i="34"/>
  <c r="B1246" i="34"/>
  <c r="B1245" i="34"/>
  <c r="B1244" i="34"/>
  <c r="B1243" i="34"/>
  <c r="B1242" i="34"/>
  <c r="B1241" i="34"/>
  <c r="B1240" i="34"/>
  <c r="B1239" i="34"/>
  <c r="B1238" i="34"/>
  <c r="B1220" i="34"/>
  <c r="B1219" i="34"/>
  <c r="B1218" i="34"/>
  <c r="B1217" i="34"/>
  <c r="B1216" i="34"/>
  <c r="B1215" i="34"/>
  <c r="B1213" i="34"/>
  <c r="B1212" i="34"/>
  <c r="B1211" i="34"/>
  <c r="B1210" i="34"/>
  <c r="B1209" i="34"/>
  <c r="B1207" i="34"/>
  <c r="B1206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68" i="34"/>
  <c r="B1167" i="34"/>
  <c r="B1166" i="34"/>
  <c r="B1165" i="34"/>
  <c r="B1161" i="34"/>
  <c r="B1160" i="34"/>
  <c r="B1159" i="34"/>
  <c r="B1158" i="34"/>
  <c r="B1157" i="34"/>
  <c r="B1156" i="34"/>
  <c r="B1152" i="34"/>
  <c r="B1151" i="34"/>
  <c r="B1150" i="34"/>
  <c r="B1149" i="34"/>
  <c r="B1148" i="34"/>
  <c r="B1147" i="34"/>
  <c r="B1146" i="34"/>
  <c r="B1145" i="34"/>
  <c r="B1144" i="34"/>
  <c r="B1143" i="34"/>
  <c r="B1122" i="34"/>
  <c r="B1121" i="34"/>
  <c r="B1120" i="34"/>
  <c r="B1119" i="34"/>
  <c r="B1118" i="34"/>
  <c r="B1117" i="34"/>
  <c r="B1116" i="34"/>
  <c r="B1115" i="34"/>
  <c r="B1105" i="34"/>
  <c r="B1104" i="34"/>
  <c r="B1103" i="34"/>
  <c r="B1102" i="34"/>
  <c r="B1083" i="34"/>
  <c r="B1082" i="34"/>
  <c r="B1081" i="34"/>
  <c r="B1080" i="34"/>
  <c r="B1079" i="34"/>
  <c r="B1494" i="34"/>
  <c r="B1493" i="34"/>
  <c r="B1492" i="34"/>
  <c r="B1491" i="34"/>
  <c r="B1490" i="34"/>
  <c r="B1489" i="34"/>
  <c r="B1488" i="34"/>
  <c r="B1487" i="34"/>
  <c r="B1485" i="34"/>
  <c r="B1484" i="34"/>
  <c r="B1391" i="34"/>
  <c r="B1390" i="34"/>
  <c r="B1389" i="34"/>
  <c r="B1388" i="34"/>
  <c r="B1387" i="34"/>
  <c r="B1386" i="34"/>
  <c r="B1384" i="34"/>
  <c r="B1383" i="34"/>
  <c r="B1382" i="34"/>
  <c r="B1381" i="34"/>
  <c r="B1380" i="34"/>
  <c r="B1379" i="34"/>
  <c r="B1378" i="34"/>
  <c r="B1376" i="34"/>
  <c r="B1375" i="34"/>
  <c r="B1374" i="34"/>
  <c r="B1373" i="34"/>
  <c r="B1372" i="34"/>
  <c r="B1371" i="34"/>
  <c r="B1370" i="34"/>
  <c r="B1369" i="34"/>
  <c r="B1368" i="34"/>
  <c r="B1366" i="34"/>
  <c r="B1365" i="34"/>
  <c r="B1358" i="34"/>
  <c r="B1351" i="34"/>
  <c r="B1343" i="34"/>
  <c r="B1342" i="34"/>
  <c r="B1341" i="34"/>
  <c r="B1340" i="34"/>
  <c r="B1339" i="34"/>
  <c r="B1338" i="34"/>
  <c r="B1324" i="34"/>
  <c r="B1323" i="34"/>
  <c r="B1321" i="34"/>
  <c r="B1320" i="34"/>
  <c r="B1319" i="34"/>
  <c r="B1318" i="34"/>
  <c r="B1317" i="34"/>
  <c r="B1304" i="34"/>
  <c r="B1303" i="34"/>
  <c r="B1302" i="34"/>
  <c r="B1301" i="34"/>
  <c r="B1482" i="34"/>
  <c r="B1478" i="34"/>
  <c r="B1477" i="34"/>
  <c r="B1476" i="34"/>
  <c r="B1475" i="34"/>
  <c r="B1473" i="34"/>
  <c r="B1468" i="34"/>
  <c r="B1467" i="34"/>
  <c r="B1466" i="34"/>
  <c r="B1465" i="34"/>
  <c r="B1463" i="34"/>
  <c r="B1462" i="34"/>
  <c r="B1461" i="34"/>
  <c r="B1460" i="34"/>
  <c r="B1459" i="34"/>
  <c r="B1455" i="34"/>
  <c r="B1454" i="34"/>
  <c r="B1453" i="34"/>
  <c r="B1452" i="34"/>
  <c r="B1445" i="34"/>
  <c r="B1444" i="34"/>
  <c r="B1443" i="34"/>
  <c r="B1442" i="34"/>
  <c r="B1441" i="34"/>
  <c r="B1440" i="34"/>
  <c r="B1439" i="34"/>
  <c r="B1438" i="34"/>
  <c r="B1437" i="34"/>
  <c r="B1435" i="34"/>
  <c r="B1434" i="34"/>
  <c r="B1433" i="34"/>
  <c r="B1431" i="34"/>
  <c r="B1430" i="34"/>
  <c r="B1429" i="34"/>
  <c r="B1428" i="34"/>
  <c r="B1427" i="34"/>
  <c r="B1426" i="34"/>
  <c r="B1425" i="34"/>
  <c r="B1424" i="34"/>
  <c r="B1422" i="34"/>
  <c r="B1421" i="34"/>
  <c r="B1420" i="34"/>
  <c r="B1419" i="34"/>
  <c r="B1417" i="34"/>
  <c r="B1416" i="34"/>
  <c r="B1415" i="34"/>
  <c r="B1414" i="34"/>
  <c r="B1413" i="34"/>
  <c r="B1412" i="34"/>
  <c r="B1411" i="34"/>
  <c r="B1410" i="34"/>
  <c r="B1409" i="34"/>
  <c r="B1399" i="34"/>
  <c r="B1398" i="34"/>
  <c r="B1396" i="34"/>
  <c r="B1395" i="34"/>
  <c r="B1353" i="34"/>
  <c r="B1352" i="34"/>
  <c r="B1299" i="34"/>
  <c r="B1298" i="34"/>
  <c r="B37" i="34"/>
  <c r="B36" i="34"/>
  <c r="B35" i="34"/>
  <c r="B1784" i="34"/>
  <c r="B1783" i="34"/>
  <c r="B1782" i="34"/>
  <c r="B1778" i="34"/>
  <c r="B1776" i="34"/>
  <c r="B1775" i="34"/>
  <c r="B1773" i="34"/>
  <c r="B1761" i="34"/>
  <c r="B1760" i="34"/>
  <c r="B1759" i="34"/>
  <c r="B1736" i="34"/>
  <c r="B1735" i="34"/>
  <c r="B1727" i="34"/>
  <c r="B1726" i="34"/>
  <c r="B1719" i="34"/>
  <c r="B1718" i="34"/>
  <c r="B1717" i="34"/>
  <c r="B1716" i="34"/>
  <c r="B1714" i="34"/>
  <c r="B1711" i="34"/>
  <c r="B1710" i="34"/>
  <c r="B1709" i="34"/>
  <c r="B1708" i="34"/>
  <c r="B1707" i="34"/>
  <c r="B1704" i="34"/>
  <c r="B1700" i="34"/>
  <c r="B1699" i="34"/>
  <c r="B1698" i="34"/>
  <c r="B1671" i="34"/>
  <c r="B1644" i="34"/>
  <c r="B1643" i="34"/>
  <c r="B1642" i="34"/>
  <c r="B1634" i="34"/>
  <c r="B1633" i="34"/>
  <c r="B1629" i="34"/>
  <c r="B1626" i="34"/>
  <c r="B1625" i="34"/>
  <c r="B1624" i="34"/>
  <c r="B1623" i="34"/>
  <c r="B1614" i="34"/>
  <c r="B1613" i="34"/>
  <c r="B1611" i="34"/>
  <c r="B1610" i="34"/>
  <c r="B1609" i="34"/>
  <c r="B1608" i="34"/>
  <c r="B1607" i="34"/>
  <c r="B1606" i="34"/>
  <c r="B1605" i="34"/>
  <c r="B182" i="34"/>
  <c r="B181" i="34"/>
  <c r="B173" i="34"/>
  <c r="B1772" i="34"/>
  <c r="B1771" i="34"/>
  <c r="B1770" i="34"/>
  <c r="B1688" i="34"/>
  <c r="B1687" i="34"/>
  <c r="B1676" i="34"/>
  <c r="B1591" i="34"/>
  <c r="B1590" i="34"/>
  <c r="B1589" i="34"/>
  <c r="B1588" i="34"/>
  <c r="B1587" i="34"/>
  <c r="B1586" i="34"/>
  <c r="B1582" i="34"/>
  <c r="B1581" i="34"/>
  <c r="B1580" i="34"/>
  <c r="B1579" i="34"/>
  <c r="B1578" i="34"/>
  <c r="B1577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2" i="34"/>
  <c r="B1521" i="34"/>
  <c r="B1520" i="34"/>
  <c r="B1519" i="34"/>
  <c r="B1518" i="34"/>
  <c r="B1517" i="34"/>
  <c r="B1516" i="34"/>
  <c r="B1514" i="34"/>
  <c r="B1734" i="34"/>
  <c r="B1733" i="34"/>
  <c r="B1732" i="34"/>
  <c r="B1731" i="34"/>
  <c r="B1729" i="34"/>
  <c r="B1728" i="34"/>
  <c r="B1713" i="34"/>
  <c r="B1712" i="34"/>
  <c r="B1675" i="34"/>
  <c r="B1674" i="34"/>
  <c r="B1673" i="34"/>
  <c r="B1672" i="34"/>
  <c r="B1670" i="34"/>
  <c r="B1669" i="34"/>
  <c r="B1668" i="34"/>
  <c r="B1667" i="34"/>
  <c r="B1666" i="34"/>
  <c r="B1665" i="34"/>
  <c r="B1651" i="34"/>
  <c r="B1650" i="34"/>
  <c r="B1646" i="34"/>
  <c r="B1645" i="34"/>
  <c r="B1641" i="34"/>
  <c r="B1640" i="34"/>
  <c r="B1632" i="34"/>
  <c r="B1631" i="34"/>
  <c r="B1628" i="34"/>
  <c r="B1627" i="34"/>
  <c r="B306" i="34"/>
  <c r="B209" i="34"/>
  <c r="B208" i="34"/>
  <c r="B200" i="34"/>
  <c r="B199" i="34"/>
  <c r="B62" i="34"/>
  <c r="B59" i="34"/>
  <c r="B58" i="34"/>
  <c r="B49" i="34"/>
  <c r="B48" i="34"/>
  <c r="B45" i="34"/>
  <c r="B44" i="34"/>
  <c r="B42" i="34"/>
  <c r="B41" i="34"/>
  <c r="U44" i="34" l="1"/>
  <c r="Z44" i="34"/>
  <c r="A44" i="34"/>
  <c r="U58" i="34"/>
  <c r="Z58" i="34"/>
  <c r="A58" i="34"/>
  <c r="U200" i="34"/>
  <c r="Z200" i="34"/>
  <c r="A200" i="34"/>
  <c r="U1627" i="34"/>
  <c r="Z1627" i="34"/>
  <c r="T1627" i="34"/>
  <c r="R1627" i="34"/>
  <c r="S1627" i="34"/>
  <c r="A1627" i="34"/>
  <c r="U1640" i="34"/>
  <c r="Z1640" i="34"/>
  <c r="S1640" i="34"/>
  <c r="T1640" i="34"/>
  <c r="R1640" i="34"/>
  <c r="A1640" i="34"/>
  <c r="U1650" i="34"/>
  <c r="Z1650" i="34"/>
  <c r="A1650" i="34"/>
  <c r="R1667" i="34"/>
  <c r="S1667" i="34"/>
  <c r="T1667" i="34"/>
  <c r="U1667" i="34"/>
  <c r="Z1667" i="34"/>
  <c r="A1667" i="34"/>
  <c r="R1672" i="34"/>
  <c r="S1672" i="34"/>
  <c r="T1672" i="34"/>
  <c r="U1672" i="34"/>
  <c r="Z1672" i="34"/>
  <c r="A1672" i="34"/>
  <c r="U1712" i="34"/>
  <c r="Z1712" i="34"/>
  <c r="A1712" i="34"/>
  <c r="R1731" i="34"/>
  <c r="S1731" i="34"/>
  <c r="T1731" i="34"/>
  <c r="U1731" i="34"/>
  <c r="Z1731" i="34"/>
  <c r="A1731" i="34"/>
  <c r="U1514" i="34"/>
  <c r="Z1514" i="34"/>
  <c r="R1514" i="34"/>
  <c r="S1514" i="34"/>
  <c r="T1514" i="34"/>
  <c r="A1514" i="34"/>
  <c r="U1519" i="34"/>
  <c r="Z1519" i="34"/>
  <c r="A1519" i="34"/>
  <c r="U1527" i="34"/>
  <c r="Z1527" i="34"/>
  <c r="T1527" i="34"/>
  <c r="R1527" i="34"/>
  <c r="S1527" i="34"/>
  <c r="A1527" i="34"/>
  <c r="U1531" i="34"/>
  <c r="Z1531" i="34"/>
  <c r="T1531" i="34"/>
  <c r="R1531" i="34"/>
  <c r="S1531" i="34"/>
  <c r="A1531" i="34"/>
  <c r="U1535" i="34"/>
  <c r="Z1535" i="34"/>
  <c r="T1535" i="34"/>
  <c r="R1535" i="34"/>
  <c r="S1535" i="34"/>
  <c r="A1535" i="34"/>
  <c r="U1539" i="34"/>
  <c r="Z1539" i="34"/>
  <c r="A1539" i="34"/>
  <c r="U1543" i="34"/>
  <c r="Z1543" i="34"/>
  <c r="T1543" i="34"/>
  <c r="R1543" i="34"/>
  <c r="S1543" i="34"/>
  <c r="A1543" i="34"/>
  <c r="U1553" i="34"/>
  <c r="Z1553" i="34"/>
  <c r="R1553" i="34"/>
  <c r="S1553" i="34"/>
  <c r="T1553" i="34"/>
  <c r="A1553" i="34"/>
  <c r="U1557" i="34"/>
  <c r="Z1557" i="34"/>
  <c r="R1557" i="34"/>
  <c r="S1557" i="34"/>
  <c r="T1557" i="34"/>
  <c r="A1557" i="34"/>
  <c r="U1561" i="34"/>
  <c r="Z1561" i="34"/>
  <c r="R1561" i="34"/>
  <c r="S1561" i="34"/>
  <c r="T1561" i="34"/>
  <c r="A1561" i="34"/>
  <c r="U1577" i="34"/>
  <c r="Z1577" i="34"/>
  <c r="R1577" i="34"/>
  <c r="S1577" i="34"/>
  <c r="T1577" i="34"/>
  <c r="A1577" i="34"/>
  <c r="U1581" i="34"/>
  <c r="Z1581" i="34"/>
  <c r="A1581" i="34"/>
  <c r="U1588" i="34"/>
  <c r="Z1588" i="34"/>
  <c r="S1588" i="34"/>
  <c r="T1588" i="34"/>
  <c r="R1588" i="34"/>
  <c r="A1588" i="34"/>
  <c r="U1676" i="34"/>
  <c r="Z1676" i="34"/>
  <c r="A1676" i="34"/>
  <c r="U1771" i="34"/>
  <c r="Z1771" i="34"/>
  <c r="A1771" i="34"/>
  <c r="U182" i="34"/>
  <c r="Z182" i="34"/>
  <c r="A182" i="34"/>
  <c r="U1608" i="34"/>
  <c r="Z1608" i="34"/>
  <c r="A1608" i="34"/>
  <c r="U1613" i="34"/>
  <c r="Z1613" i="34"/>
  <c r="A1613" i="34"/>
  <c r="U1625" i="34"/>
  <c r="Z1625" i="34"/>
  <c r="R1625" i="34"/>
  <c r="S1625" i="34"/>
  <c r="T1625" i="34"/>
  <c r="A1625" i="34"/>
  <c r="U1634" i="34"/>
  <c r="Z1634" i="34"/>
  <c r="R1634" i="34"/>
  <c r="S1634" i="34"/>
  <c r="T1634" i="34"/>
  <c r="A1634" i="34"/>
  <c r="R1671" i="34"/>
  <c r="S1671" i="34"/>
  <c r="T1671" i="34"/>
  <c r="U1671" i="34"/>
  <c r="Z1671" i="34"/>
  <c r="A1671" i="34"/>
  <c r="R1704" i="34"/>
  <c r="S1704" i="34"/>
  <c r="T1704" i="34"/>
  <c r="U1704" i="34"/>
  <c r="Z1704" i="34"/>
  <c r="A1704" i="34"/>
  <c r="R1710" i="34"/>
  <c r="S1710" i="34"/>
  <c r="T1710" i="34"/>
  <c r="U1710" i="34"/>
  <c r="Z1710" i="34"/>
  <c r="A1710" i="34"/>
  <c r="U1717" i="34"/>
  <c r="Z1717" i="34"/>
  <c r="A1717" i="34"/>
  <c r="U1727" i="34"/>
  <c r="Z1727" i="34"/>
  <c r="A1727" i="34"/>
  <c r="U1760" i="34"/>
  <c r="Z1760" i="34"/>
  <c r="A1760" i="34"/>
  <c r="U1776" i="34"/>
  <c r="Z1776" i="34"/>
  <c r="A1776" i="34"/>
  <c r="U1784" i="34"/>
  <c r="Z1784" i="34"/>
  <c r="A1784" i="34"/>
  <c r="R1298" i="34"/>
  <c r="S1298" i="34"/>
  <c r="T1298" i="34"/>
  <c r="U1298" i="34"/>
  <c r="Z1298" i="34"/>
  <c r="A1298" i="34"/>
  <c r="U1395" i="34"/>
  <c r="Z1395" i="34"/>
  <c r="A1395" i="34"/>
  <c r="U1409" i="34"/>
  <c r="Z1409" i="34"/>
  <c r="R1409" i="34"/>
  <c r="S1409" i="34"/>
  <c r="T1409" i="34"/>
  <c r="A1409" i="34"/>
  <c r="U1413" i="34"/>
  <c r="Z1413" i="34"/>
  <c r="A1413" i="34"/>
  <c r="U1417" i="34"/>
  <c r="Z1417" i="34"/>
  <c r="R1417" i="34"/>
  <c r="S1417" i="34"/>
  <c r="T1417" i="34"/>
  <c r="A1417" i="34"/>
  <c r="U1422" i="34"/>
  <c r="Z1422" i="34"/>
  <c r="A1422" i="34"/>
  <c r="U1427" i="34"/>
  <c r="Z1427" i="34"/>
  <c r="A1427" i="34"/>
  <c r="U1431" i="34"/>
  <c r="Z1431" i="34"/>
  <c r="A1431" i="34"/>
  <c r="U1437" i="34"/>
  <c r="Z1437" i="34"/>
  <c r="R1437" i="34"/>
  <c r="S1437" i="34"/>
  <c r="T1437" i="34"/>
  <c r="A1437" i="34"/>
  <c r="U1441" i="34"/>
  <c r="Z1441" i="34"/>
  <c r="A1441" i="34"/>
  <c r="U1445" i="34"/>
  <c r="Z1445" i="34"/>
  <c r="A1445" i="34"/>
  <c r="U1455" i="34"/>
  <c r="Z1455" i="34"/>
  <c r="A1455" i="34"/>
  <c r="U1462" i="34"/>
  <c r="Z1462" i="34"/>
  <c r="R1462" i="34"/>
  <c r="S1462" i="34"/>
  <c r="T1462" i="34"/>
  <c r="A1462" i="34"/>
  <c r="U1467" i="34"/>
  <c r="Z1467" i="34"/>
  <c r="A1467" i="34"/>
  <c r="U1476" i="34"/>
  <c r="Z1476" i="34"/>
  <c r="S1476" i="34"/>
  <c r="T1476" i="34"/>
  <c r="R1476" i="34"/>
  <c r="A1476" i="34"/>
  <c r="U1301" i="34"/>
  <c r="Z1301" i="34"/>
  <c r="A1301" i="34"/>
  <c r="R1317" i="34"/>
  <c r="S1317" i="34"/>
  <c r="T1317" i="34"/>
  <c r="U1317" i="34"/>
  <c r="Z1317" i="34"/>
  <c r="A1317" i="34"/>
  <c r="U1321" i="34"/>
  <c r="Z1321" i="34"/>
  <c r="A1321" i="34"/>
  <c r="U1339" i="34"/>
  <c r="Z1339" i="34"/>
  <c r="A1339" i="34"/>
  <c r="U1343" i="34"/>
  <c r="Z1343" i="34"/>
  <c r="A1343" i="34"/>
  <c r="U1366" i="34"/>
  <c r="Z1366" i="34"/>
  <c r="R1366" i="34"/>
  <c r="S1366" i="34"/>
  <c r="T1366" i="34"/>
  <c r="A1366" i="34"/>
  <c r="U1371" i="34"/>
  <c r="Z1371" i="34"/>
  <c r="A1371" i="34"/>
  <c r="U1375" i="34"/>
  <c r="Z1375" i="34"/>
  <c r="A1375" i="34"/>
  <c r="U1380" i="34"/>
  <c r="Z1380" i="34"/>
  <c r="S1380" i="34"/>
  <c r="T1380" i="34"/>
  <c r="R1380" i="34"/>
  <c r="A1380" i="34"/>
  <c r="U1384" i="34"/>
  <c r="Z1384" i="34"/>
  <c r="A1384" i="34"/>
  <c r="U1389" i="34"/>
  <c r="Z1389" i="34"/>
  <c r="A1389" i="34"/>
  <c r="U1485" i="34"/>
  <c r="Z1485" i="34"/>
  <c r="A1485" i="34"/>
  <c r="U1490" i="34"/>
  <c r="Z1490" i="34"/>
  <c r="A1490" i="34"/>
  <c r="U1494" i="34"/>
  <c r="Z1494" i="34"/>
  <c r="R1494" i="34"/>
  <c r="S1494" i="34"/>
  <c r="T1494" i="34"/>
  <c r="A1494" i="34"/>
  <c r="U1082" i="34"/>
  <c r="Z1082" i="34"/>
  <c r="A1082" i="34"/>
  <c r="U1104" i="34"/>
  <c r="Z1104" i="34"/>
  <c r="A1104" i="34"/>
  <c r="U1117" i="34"/>
  <c r="Z1117" i="34"/>
  <c r="A1117" i="34"/>
  <c r="U1121" i="34"/>
  <c r="Z1121" i="34"/>
  <c r="A1121" i="34"/>
  <c r="U1145" i="34"/>
  <c r="Z1145" i="34"/>
  <c r="R1145" i="34"/>
  <c r="S1145" i="34"/>
  <c r="T1145" i="34"/>
  <c r="A1145" i="34"/>
  <c r="U1149" i="34"/>
  <c r="Z1149" i="34"/>
  <c r="A1149" i="34"/>
  <c r="U1156" i="34"/>
  <c r="Z1156" i="34"/>
  <c r="A1156" i="34"/>
  <c r="U1160" i="34"/>
  <c r="Z1160" i="34"/>
  <c r="A1160" i="34"/>
  <c r="U1167" i="34"/>
  <c r="Z1167" i="34"/>
  <c r="A1167" i="34"/>
  <c r="U1189" i="34"/>
  <c r="Z1189" i="34"/>
  <c r="A1189" i="34"/>
  <c r="U1193" i="34"/>
  <c r="Z1193" i="34"/>
  <c r="A1193" i="34"/>
  <c r="U1197" i="34"/>
  <c r="Z1197" i="34"/>
  <c r="R1197" i="34"/>
  <c r="S1197" i="34"/>
  <c r="T1197" i="34"/>
  <c r="A1197" i="34"/>
  <c r="U1201" i="34"/>
  <c r="Z1201" i="34"/>
  <c r="R1201" i="34"/>
  <c r="S1201" i="34"/>
  <c r="T1201" i="34"/>
  <c r="A1201" i="34"/>
  <c r="U1207" i="34"/>
  <c r="Z1207" i="34"/>
  <c r="A1207" i="34"/>
  <c r="U1212" i="34"/>
  <c r="Z1212" i="34"/>
  <c r="A1212" i="34"/>
  <c r="U1217" i="34"/>
  <c r="Z1217" i="34"/>
  <c r="A1217" i="34"/>
  <c r="U1238" i="34"/>
  <c r="Z1238" i="34"/>
  <c r="T1238" i="34"/>
  <c r="R1238" i="34"/>
  <c r="S1238" i="34"/>
  <c r="A1238" i="34"/>
  <c r="U1242" i="34"/>
  <c r="Z1242" i="34"/>
  <c r="T1242" i="34"/>
  <c r="R1242" i="34"/>
  <c r="S1242" i="34"/>
  <c r="A1242" i="34"/>
  <c r="U1246" i="34"/>
  <c r="Z1246" i="34"/>
  <c r="A1246" i="34"/>
  <c r="R1252" i="34"/>
  <c r="S1252" i="34"/>
  <c r="T1252" i="34"/>
  <c r="U1252" i="34"/>
  <c r="Z1252" i="34"/>
  <c r="A1252" i="34"/>
  <c r="R1256" i="34"/>
  <c r="S1256" i="34"/>
  <c r="T1256" i="34"/>
  <c r="U1256" i="34"/>
  <c r="Z1256" i="34"/>
  <c r="A1256" i="34"/>
  <c r="U1260" i="34"/>
  <c r="Z1260" i="34"/>
  <c r="A1260" i="34"/>
  <c r="U1264" i="34"/>
  <c r="Z1264" i="34"/>
  <c r="A1264" i="34"/>
  <c r="U1268" i="34"/>
  <c r="Z1268" i="34"/>
  <c r="A1268" i="34"/>
  <c r="U1273" i="34"/>
  <c r="Z1273" i="34"/>
  <c r="A1273" i="34"/>
  <c r="R1277" i="34"/>
  <c r="S1277" i="34"/>
  <c r="T1277" i="34"/>
  <c r="U1277" i="34"/>
  <c r="Z1277" i="34"/>
  <c r="A1277" i="34"/>
  <c r="U1281" i="34"/>
  <c r="Z1281" i="34"/>
  <c r="A1281" i="34"/>
  <c r="U1285" i="34"/>
  <c r="Z1285" i="34"/>
  <c r="A1285" i="34"/>
  <c r="U1029" i="34"/>
  <c r="Z1029" i="34"/>
  <c r="A1029" i="34"/>
  <c r="U1036" i="34"/>
  <c r="Z1036" i="34"/>
  <c r="A1036" i="34"/>
  <c r="U1044" i="34"/>
  <c r="Z1044" i="34"/>
  <c r="A1044" i="34"/>
  <c r="U1048" i="34"/>
  <c r="Z1048" i="34"/>
  <c r="A1048" i="34"/>
  <c r="U1053" i="34"/>
  <c r="Z1053" i="34"/>
  <c r="A1053" i="34"/>
  <c r="R1061" i="34"/>
  <c r="S1061" i="34"/>
  <c r="T1061" i="34"/>
  <c r="U1061" i="34"/>
  <c r="Z1061" i="34"/>
  <c r="A1061" i="34"/>
  <c r="U1065" i="34"/>
  <c r="Z1065" i="34"/>
  <c r="A1065" i="34"/>
  <c r="U1070" i="34"/>
  <c r="Z1070" i="34"/>
  <c r="A1070" i="34"/>
  <c r="U1075" i="34"/>
  <c r="Z1075" i="34"/>
  <c r="A1075" i="34"/>
  <c r="U45" i="34"/>
  <c r="Z45" i="34"/>
  <c r="A45" i="34"/>
  <c r="U59" i="34"/>
  <c r="Z59" i="34"/>
  <c r="A59" i="34"/>
  <c r="U208" i="34"/>
  <c r="Z208" i="34"/>
  <c r="A208" i="34"/>
  <c r="U1628" i="34"/>
  <c r="Z1628" i="34"/>
  <c r="A1628" i="34"/>
  <c r="U1641" i="34"/>
  <c r="Z1641" i="34"/>
  <c r="R1641" i="34"/>
  <c r="S1641" i="34"/>
  <c r="T1641" i="34"/>
  <c r="A1641" i="34"/>
  <c r="U1651" i="34"/>
  <c r="Z1651" i="34"/>
  <c r="A1651" i="34"/>
  <c r="R1668" i="34"/>
  <c r="S1668" i="34"/>
  <c r="T1668" i="34"/>
  <c r="U1668" i="34"/>
  <c r="Z1668" i="34"/>
  <c r="A1668" i="34"/>
  <c r="R1673" i="34"/>
  <c r="S1673" i="34"/>
  <c r="T1673" i="34"/>
  <c r="U1673" i="34"/>
  <c r="Z1673" i="34"/>
  <c r="A1673" i="34"/>
  <c r="U1713" i="34"/>
  <c r="Z1713" i="34"/>
  <c r="A1713" i="34"/>
  <c r="R1732" i="34"/>
  <c r="S1732" i="34"/>
  <c r="T1732" i="34"/>
  <c r="U1732" i="34"/>
  <c r="Z1732" i="34"/>
  <c r="A1732" i="34"/>
  <c r="U1516" i="34"/>
  <c r="Z1516" i="34"/>
  <c r="S1516" i="34"/>
  <c r="T1516" i="34"/>
  <c r="R1516" i="34"/>
  <c r="A1516" i="34"/>
  <c r="U1520" i="34"/>
  <c r="Z1520" i="34"/>
  <c r="A1520" i="34"/>
  <c r="U1528" i="34"/>
  <c r="Z1528" i="34"/>
  <c r="S1528" i="34"/>
  <c r="T1528" i="34"/>
  <c r="R1528" i="34"/>
  <c r="A1528" i="34"/>
  <c r="U1532" i="34"/>
  <c r="Z1532" i="34"/>
  <c r="S1532" i="34"/>
  <c r="T1532" i="34"/>
  <c r="R1532" i="34"/>
  <c r="A1532" i="34"/>
  <c r="U1536" i="34"/>
  <c r="Z1536" i="34"/>
  <c r="A1536" i="34"/>
  <c r="U1540" i="34"/>
  <c r="Z1540" i="34"/>
  <c r="A1540" i="34"/>
  <c r="U1544" i="34"/>
  <c r="Z1544" i="34"/>
  <c r="S1544" i="34"/>
  <c r="T1544" i="34"/>
  <c r="R1544" i="34"/>
  <c r="A1544" i="34"/>
  <c r="U1554" i="34"/>
  <c r="Z1554" i="34"/>
  <c r="R1554" i="34"/>
  <c r="S1554" i="34"/>
  <c r="T1554" i="34"/>
  <c r="A1554" i="34"/>
  <c r="U1558" i="34"/>
  <c r="Z1558" i="34"/>
  <c r="R1558" i="34"/>
  <c r="S1558" i="34"/>
  <c r="T1558" i="34"/>
  <c r="A1558" i="34"/>
  <c r="U1562" i="34"/>
  <c r="Z1562" i="34"/>
  <c r="R1562" i="34"/>
  <c r="S1562" i="34"/>
  <c r="T1562" i="34"/>
  <c r="A1562" i="34"/>
  <c r="U1578" i="34"/>
  <c r="Z1578" i="34"/>
  <c r="A1578" i="34"/>
  <c r="U1582" i="34"/>
  <c r="Z1582" i="34"/>
  <c r="A1582" i="34"/>
  <c r="U1589" i="34"/>
  <c r="Z1589" i="34"/>
  <c r="R1589" i="34"/>
  <c r="S1589" i="34"/>
  <c r="T1589" i="34"/>
  <c r="A1589" i="34"/>
  <c r="U1687" i="34"/>
  <c r="Z1687" i="34"/>
  <c r="A1687" i="34"/>
  <c r="U1772" i="34"/>
  <c r="Z1772" i="34"/>
  <c r="A1772" i="34"/>
  <c r="U1605" i="34"/>
  <c r="Z1605" i="34"/>
  <c r="R1605" i="34"/>
  <c r="S1605" i="34"/>
  <c r="T1605" i="34"/>
  <c r="A1605" i="34"/>
  <c r="U1609" i="34"/>
  <c r="Z1609" i="34"/>
  <c r="A1609" i="34"/>
  <c r="U1614" i="34"/>
  <c r="Z1614" i="34"/>
  <c r="A1614" i="34"/>
  <c r="U1626" i="34"/>
  <c r="Z1626" i="34"/>
  <c r="R1626" i="34"/>
  <c r="S1626" i="34"/>
  <c r="T1626" i="34"/>
  <c r="A1626" i="34"/>
  <c r="U1642" i="34"/>
  <c r="Z1642" i="34"/>
  <c r="R1642" i="34"/>
  <c r="S1642" i="34"/>
  <c r="T1642" i="34"/>
  <c r="A1642" i="34"/>
  <c r="R1698" i="34"/>
  <c r="S1698" i="34"/>
  <c r="T1698" i="34"/>
  <c r="U1698" i="34"/>
  <c r="Z1698" i="34"/>
  <c r="A1698" i="34"/>
  <c r="U1707" i="34"/>
  <c r="Z1707" i="34"/>
  <c r="A1707" i="34"/>
  <c r="U1711" i="34"/>
  <c r="Z1711" i="34"/>
  <c r="A1711" i="34"/>
  <c r="U1718" i="34"/>
  <c r="Z1718" i="34"/>
  <c r="A1718" i="34"/>
  <c r="U1735" i="34"/>
  <c r="Z1735" i="34"/>
  <c r="A1735" i="34"/>
  <c r="U1761" i="34"/>
  <c r="Z1761" i="34"/>
  <c r="A1761" i="34"/>
  <c r="T1778" i="34"/>
  <c r="U1778" i="34"/>
  <c r="Z1778" i="34"/>
  <c r="R1778" i="34"/>
  <c r="S1778" i="34"/>
  <c r="A1778" i="34"/>
  <c r="U35" i="34"/>
  <c r="Z35" i="34"/>
  <c r="A35" i="34"/>
  <c r="U1299" i="34"/>
  <c r="Z1299" i="34"/>
  <c r="A1299" i="34"/>
  <c r="U1396" i="34"/>
  <c r="Z1396" i="34"/>
  <c r="A1396" i="34"/>
  <c r="U1410" i="34"/>
  <c r="Z1410" i="34"/>
  <c r="A1410" i="34"/>
  <c r="U1414" i="34"/>
  <c r="Z1414" i="34"/>
  <c r="R1414" i="34"/>
  <c r="S1414" i="34"/>
  <c r="T1414" i="34"/>
  <c r="A1414" i="34"/>
  <c r="U1419" i="34"/>
  <c r="Z1419" i="34"/>
  <c r="T1419" i="34"/>
  <c r="R1419" i="34"/>
  <c r="S1419" i="34"/>
  <c r="A1419" i="34"/>
  <c r="U1424" i="34"/>
  <c r="Z1424" i="34"/>
  <c r="A1424" i="34"/>
  <c r="U1428" i="34"/>
  <c r="Z1428" i="34"/>
  <c r="S1428" i="34"/>
  <c r="T1428" i="34"/>
  <c r="R1428" i="34"/>
  <c r="A1428" i="34"/>
  <c r="U1433" i="34"/>
  <c r="Z1433" i="34"/>
  <c r="A1433" i="34"/>
  <c r="U1438" i="34"/>
  <c r="Z1438" i="34"/>
  <c r="R1438" i="34"/>
  <c r="S1438" i="34"/>
  <c r="T1438" i="34"/>
  <c r="A1438" i="34"/>
  <c r="U1442" i="34"/>
  <c r="Z1442" i="34"/>
  <c r="A1442" i="34"/>
  <c r="U1452" i="34"/>
  <c r="Z1452" i="34"/>
  <c r="A1452" i="34"/>
  <c r="U1459" i="34"/>
  <c r="Z1459" i="34"/>
  <c r="T1459" i="34"/>
  <c r="R1459" i="34"/>
  <c r="S1459" i="34"/>
  <c r="A1459" i="34"/>
  <c r="U1463" i="34"/>
  <c r="Z1463" i="34"/>
  <c r="T1463" i="34"/>
  <c r="R1463" i="34"/>
  <c r="S1463" i="34"/>
  <c r="A1463" i="34"/>
  <c r="U1468" i="34"/>
  <c r="Z1468" i="34"/>
  <c r="A1468" i="34"/>
  <c r="U1477" i="34"/>
  <c r="Z1477" i="34"/>
  <c r="A1477" i="34"/>
  <c r="U1302" i="34"/>
  <c r="Z1302" i="34"/>
  <c r="A1302" i="34"/>
  <c r="R1318" i="34"/>
  <c r="S1318" i="34"/>
  <c r="T1318" i="34"/>
  <c r="U1318" i="34"/>
  <c r="Z1318" i="34"/>
  <c r="A1318" i="34"/>
  <c r="U1323" i="34"/>
  <c r="Z1323" i="34"/>
  <c r="A1323" i="34"/>
  <c r="U1340" i="34"/>
  <c r="Z1340" i="34"/>
  <c r="A1340" i="34"/>
  <c r="U1351" i="34"/>
  <c r="Z1351" i="34"/>
  <c r="T1351" i="34"/>
  <c r="R1351" i="34"/>
  <c r="S1351" i="34"/>
  <c r="A1351" i="34"/>
  <c r="U1368" i="34"/>
  <c r="Z1368" i="34"/>
  <c r="A1368" i="34"/>
  <c r="U1372" i="34"/>
  <c r="Z1372" i="34"/>
  <c r="A1372" i="34"/>
  <c r="U1376" i="34"/>
  <c r="Z1376" i="34"/>
  <c r="A1376" i="34"/>
  <c r="U1381" i="34"/>
  <c r="Z1381" i="34"/>
  <c r="A1381" i="34"/>
  <c r="U1386" i="34"/>
  <c r="Z1386" i="34"/>
  <c r="R1386" i="34"/>
  <c r="S1386" i="34"/>
  <c r="T1386" i="34"/>
  <c r="A1386" i="34"/>
  <c r="U1390" i="34"/>
  <c r="Z1390" i="34"/>
  <c r="A1390" i="34"/>
  <c r="U1487" i="34"/>
  <c r="Z1487" i="34"/>
  <c r="A1487" i="34"/>
  <c r="U1491" i="34"/>
  <c r="Z1491" i="34"/>
  <c r="T1491" i="34"/>
  <c r="R1491" i="34"/>
  <c r="S1491" i="34"/>
  <c r="A1491" i="34"/>
  <c r="U1079" i="34"/>
  <c r="Z1079" i="34"/>
  <c r="A1079" i="34"/>
  <c r="U1083" i="34"/>
  <c r="Z1083" i="34"/>
  <c r="A1083" i="34"/>
  <c r="U1105" i="34"/>
  <c r="Z1105" i="34"/>
  <c r="A1105" i="34"/>
  <c r="U1118" i="34"/>
  <c r="Z1118" i="34"/>
  <c r="A1118" i="34"/>
  <c r="U1122" i="34"/>
  <c r="Z1122" i="34"/>
  <c r="A1122" i="34"/>
  <c r="U1146" i="34"/>
  <c r="Z1146" i="34"/>
  <c r="T1146" i="34"/>
  <c r="R1146" i="34"/>
  <c r="S1146" i="34"/>
  <c r="A1146" i="34"/>
  <c r="U1150" i="34"/>
  <c r="Z1150" i="34"/>
  <c r="A1150" i="34"/>
  <c r="U1157" i="34"/>
  <c r="Z1157" i="34"/>
  <c r="A1157" i="34"/>
  <c r="U1161" i="34"/>
  <c r="Z1161" i="34"/>
  <c r="A1161" i="34"/>
  <c r="U1168" i="34"/>
  <c r="Z1168" i="34"/>
  <c r="A1168" i="34"/>
  <c r="U1190" i="34"/>
  <c r="Z1190" i="34"/>
  <c r="A1190" i="34"/>
  <c r="U1194" i="34"/>
  <c r="Z1194" i="34"/>
  <c r="A1194" i="34"/>
  <c r="U1198" i="34"/>
  <c r="Z1198" i="34"/>
  <c r="T1198" i="34"/>
  <c r="R1198" i="34"/>
  <c r="S1198" i="34"/>
  <c r="A1198" i="34"/>
  <c r="U1202" i="34"/>
  <c r="Z1202" i="34"/>
  <c r="T1202" i="34"/>
  <c r="R1202" i="34"/>
  <c r="S1202" i="34"/>
  <c r="A1202" i="34"/>
  <c r="U1209" i="34"/>
  <c r="Z1209" i="34"/>
  <c r="A1209" i="34"/>
  <c r="U1213" i="34"/>
  <c r="Z1213" i="34"/>
  <c r="A1213" i="34"/>
  <c r="U1218" i="34"/>
  <c r="Z1218" i="34"/>
  <c r="A1218" i="34"/>
  <c r="U1239" i="34"/>
  <c r="Z1239" i="34"/>
  <c r="S1239" i="34"/>
  <c r="T1239" i="34"/>
  <c r="R1239" i="34"/>
  <c r="A1239" i="34"/>
  <c r="R1243" i="34"/>
  <c r="S1243" i="34"/>
  <c r="T1243" i="34"/>
  <c r="U1243" i="34"/>
  <c r="Z1243" i="34"/>
  <c r="A1243" i="34"/>
  <c r="U1247" i="34"/>
  <c r="Z1247" i="34"/>
  <c r="A1247" i="34"/>
  <c r="R1253" i="34"/>
  <c r="S1253" i="34"/>
  <c r="T1253" i="34"/>
  <c r="U1253" i="34"/>
  <c r="Z1253" i="34"/>
  <c r="A1253" i="34"/>
  <c r="R1257" i="34"/>
  <c r="S1257" i="34"/>
  <c r="T1257" i="34"/>
  <c r="U1257" i="34"/>
  <c r="Z1257" i="34"/>
  <c r="A1257" i="34"/>
  <c r="U1261" i="34"/>
  <c r="Z1261" i="34"/>
  <c r="A1261" i="34"/>
  <c r="R1265" i="34"/>
  <c r="S1265" i="34"/>
  <c r="T1265" i="34"/>
  <c r="U1265" i="34"/>
  <c r="Z1265" i="34"/>
  <c r="A1265" i="34"/>
  <c r="U1269" i="34"/>
  <c r="Z1269" i="34"/>
  <c r="A1269" i="34"/>
  <c r="R1274" i="34"/>
  <c r="S1274" i="34"/>
  <c r="T1274" i="34"/>
  <c r="U1274" i="34"/>
  <c r="Z1274" i="34"/>
  <c r="A1274" i="34"/>
  <c r="U1278" i="34"/>
  <c r="Z1278" i="34"/>
  <c r="A1278" i="34"/>
  <c r="R1282" i="34"/>
  <c r="S1282" i="34"/>
  <c r="T1282" i="34"/>
  <c r="U1282" i="34"/>
  <c r="Z1282" i="34"/>
  <c r="A1282" i="34"/>
  <c r="U1286" i="34"/>
  <c r="Z1286" i="34"/>
  <c r="A1286" i="34"/>
  <c r="U1031" i="34"/>
  <c r="Z1031" i="34"/>
  <c r="A1031" i="34"/>
  <c r="R1039" i="34"/>
  <c r="S1039" i="34"/>
  <c r="T1039" i="34"/>
  <c r="U1039" i="34"/>
  <c r="Z1039" i="34"/>
  <c r="A1039" i="34"/>
  <c r="U1045" i="34"/>
  <c r="Z1045" i="34"/>
  <c r="A1045" i="34"/>
  <c r="U1049" i="34"/>
  <c r="Z1049" i="34"/>
  <c r="A1049" i="34"/>
  <c r="U1054" i="34"/>
  <c r="Z1054" i="34"/>
  <c r="A1054" i="34"/>
  <c r="U1062" i="34"/>
  <c r="Z1062" i="34"/>
  <c r="A1062" i="34"/>
  <c r="U1066" i="34"/>
  <c r="Z1066" i="34"/>
  <c r="A1066" i="34"/>
  <c r="U1071" i="34"/>
  <c r="Z1071" i="34"/>
  <c r="A1071" i="34"/>
  <c r="U1076" i="34"/>
  <c r="Z1076" i="34"/>
  <c r="A1076" i="34"/>
  <c r="U41" i="34"/>
  <c r="Z41" i="34"/>
  <c r="A41" i="34"/>
  <c r="U48" i="34"/>
  <c r="Z48" i="34"/>
  <c r="A48" i="34"/>
  <c r="U62" i="34"/>
  <c r="Z62" i="34"/>
  <c r="A62" i="34"/>
  <c r="U209" i="34"/>
  <c r="Z209" i="34"/>
  <c r="A209" i="34"/>
  <c r="U1631" i="34"/>
  <c r="Z1631" i="34"/>
  <c r="T1631" i="34"/>
  <c r="R1631" i="34"/>
  <c r="S1631" i="34"/>
  <c r="A1631" i="34"/>
  <c r="U1645" i="34"/>
  <c r="Z1645" i="34"/>
  <c r="R1645" i="34"/>
  <c r="S1645" i="34"/>
  <c r="T1645" i="34"/>
  <c r="A1645" i="34"/>
  <c r="R1665" i="34"/>
  <c r="S1665" i="34"/>
  <c r="T1665" i="34"/>
  <c r="U1665" i="34"/>
  <c r="Z1665" i="34"/>
  <c r="A1665" i="34"/>
  <c r="R1669" i="34"/>
  <c r="S1669" i="34"/>
  <c r="T1669" i="34"/>
  <c r="U1669" i="34"/>
  <c r="Z1669" i="34"/>
  <c r="A1669" i="34"/>
  <c r="R1674" i="34"/>
  <c r="S1674" i="34"/>
  <c r="T1674" i="34"/>
  <c r="U1674" i="34"/>
  <c r="Z1674" i="34"/>
  <c r="A1674" i="34"/>
  <c r="U1728" i="34"/>
  <c r="Z1728" i="34"/>
  <c r="A1728" i="34"/>
  <c r="R1733" i="34"/>
  <c r="S1733" i="34"/>
  <c r="T1733" i="34"/>
  <c r="U1733" i="34"/>
  <c r="Z1733" i="34"/>
  <c r="A1733" i="34"/>
  <c r="U1517" i="34"/>
  <c r="Z1517" i="34"/>
  <c r="R1517" i="34"/>
  <c r="S1517" i="34"/>
  <c r="T1517" i="34"/>
  <c r="A1517" i="34"/>
  <c r="U1521" i="34"/>
  <c r="Z1521" i="34"/>
  <c r="A1521" i="34"/>
  <c r="U1529" i="34"/>
  <c r="Z1529" i="34"/>
  <c r="R1529" i="34"/>
  <c r="S1529" i="34"/>
  <c r="T1529" i="34"/>
  <c r="A1529" i="34"/>
  <c r="U1533" i="34"/>
  <c r="Z1533" i="34"/>
  <c r="R1533" i="34"/>
  <c r="S1533" i="34"/>
  <c r="T1533" i="34"/>
  <c r="A1533" i="34"/>
  <c r="U1537" i="34"/>
  <c r="Z1537" i="34"/>
  <c r="A1537" i="34"/>
  <c r="U1541" i="34"/>
  <c r="Z1541" i="34"/>
  <c r="R1541" i="34"/>
  <c r="S1541" i="34"/>
  <c r="T1541" i="34"/>
  <c r="A1541" i="34"/>
  <c r="U1551" i="34"/>
  <c r="Z1551" i="34"/>
  <c r="T1551" i="34"/>
  <c r="R1551" i="34"/>
  <c r="S1551" i="34"/>
  <c r="A1551" i="34"/>
  <c r="U1555" i="34"/>
  <c r="Z1555" i="34"/>
  <c r="A1555" i="34"/>
  <c r="U1559" i="34"/>
  <c r="Z1559" i="34"/>
  <c r="T1559" i="34"/>
  <c r="R1559" i="34"/>
  <c r="S1559" i="34"/>
  <c r="A1559" i="34"/>
  <c r="U1563" i="34"/>
  <c r="Z1563" i="34"/>
  <c r="T1563" i="34"/>
  <c r="R1563" i="34"/>
  <c r="S1563" i="34"/>
  <c r="A1563" i="34"/>
  <c r="U1579" i="34"/>
  <c r="Z1579" i="34"/>
  <c r="A1579" i="34"/>
  <c r="U1586" i="34"/>
  <c r="Z1586" i="34"/>
  <c r="R1586" i="34"/>
  <c r="S1586" i="34"/>
  <c r="T1586" i="34"/>
  <c r="A1586" i="34"/>
  <c r="U1590" i="34"/>
  <c r="Z1590" i="34"/>
  <c r="R1590" i="34"/>
  <c r="S1590" i="34"/>
  <c r="T1590" i="34"/>
  <c r="A1590" i="34"/>
  <c r="U1688" i="34"/>
  <c r="Z1688" i="34"/>
  <c r="A1688" i="34"/>
  <c r="U173" i="34"/>
  <c r="Z173" i="34"/>
  <c r="A173" i="34"/>
  <c r="U1606" i="34"/>
  <c r="Z1606" i="34"/>
  <c r="A1606" i="34"/>
  <c r="U1610" i="34"/>
  <c r="Z1610" i="34"/>
  <c r="A1610" i="34"/>
  <c r="U1623" i="34"/>
  <c r="Z1623" i="34"/>
  <c r="T1623" i="34"/>
  <c r="R1623" i="34"/>
  <c r="S1623" i="34"/>
  <c r="A1623" i="34"/>
  <c r="U1629" i="34"/>
  <c r="Z1629" i="34"/>
  <c r="A1629" i="34"/>
  <c r="U1643" i="34"/>
  <c r="Z1643" i="34"/>
  <c r="T1643" i="34"/>
  <c r="R1643" i="34"/>
  <c r="S1643" i="34"/>
  <c r="A1643" i="34"/>
  <c r="R1699" i="34"/>
  <c r="S1699" i="34"/>
  <c r="T1699" i="34"/>
  <c r="U1699" i="34"/>
  <c r="Z1699" i="34"/>
  <c r="A1699" i="34"/>
  <c r="U1708" i="34"/>
  <c r="Z1708" i="34"/>
  <c r="A1708" i="34"/>
  <c r="U1714" i="34"/>
  <c r="Z1714" i="34"/>
  <c r="A1714" i="34"/>
  <c r="U1719" i="34"/>
  <c r="Z1719" i="34"/>
  <c r="A1719" i="34"/>
  <c r="U1736" i="34"/>
  <c r="Z1736" i="34"/>
  <c r="A1736" i="34"/>
  <c r="U1773" i="34"/>
  <c r="Z1773" i="34"/>
  <c r="A1773" i="34"/>
  <c r="U1782" i="34"/>
  <c r="Z1782" i="34"/>
  <c r="A1782" i="34"/>
  <c r="U36" i="34"/>
  <c r="Z36" i="34"/>
  <c r="A36" i="34"/>
  <c r="U1352" i="34"/>
  <c r="Z1352" i="34"/>
  <c r="S1352" i="34"/>
  <c r="T1352" i="34"/>
  <c r="R1352" i="34"/>
  <c r="A1352" i="34"/>
  <c r="U1398" i="34"/>
  <c r="Z1398" i="34"/>
  <c r="A1398" i="34"/>
  <c r="U1411" i="34"/>
  <c r="Z1411" i="34"/>
  <c r="A1411" i="34"/>
  <c r="U1415" i="34"/>
  <c r="Z1415" i="34"/>
  <c r="A1415" i="34"/>
  <c r="U1420" i="34"/>
  <c r="Z1420" i="34"/>
  <c r="A1420" i="34"/>
  <c r="U1425" i="34"/>
  <c r="Z1425" i="34"/>
  <c r="A1425" i="34"/>
  <c r="U1429" i="34"/>
  <c r="Z1429" i="34"/>
  <c r="A1429" i="34"/>
  <c r="U1434" i="34"/>
  <c r="Z1434" i="34"/>
  <c r="A1434" i="34"/>
  <c r="U1439" i="34"/>
  <c r="Z1439" i="34"/>
  <c r="A1439" i="34"/>
  <c r="U1443" i="34"/>
  <c r="Z1443" i="34"/>
  <c r="A1443" i="34"/>
  <c r="U1453" i="34"/>
  <c r="Z1453" i="34"/>
  <c r="A1453" i="34"/>
  <c r="U1460" i="34"/>
  <c r="Z1460" i="34"/>
  <c r="S1460" i="34"/>
  <c r="T1460" i="34"/>
  <c r="R1460" i="34"/>
  <c r="A1460" i="34"/>
  <c r="U1465" i="34"/>
  <c r="Z1465" i="34"/>
  <c r="A1465" i="34"/>
  <c r="U1473" i="34"/>
  <c r="Z1473" i="34"/>
  <c r="A1473" i="34"/>
  <c r="U1478" i="34"/>
  <c r="Z1478" i="34"/>
  <c r="A1478" i="34"/>
  <c r="U1303" i="34"/>
  <c r="Z1303" i="34"/>
  <c r="A1303" i="34"/>
  <c r="R1319" i="34"/>
  <c r="S1319" i="34"/>
  <c r="T1319" i="34"/>
  <c r="U1319" i="34"/>
  <c r="Z1319" i="34"/>
  <c r="A1319" i="34"/>
  <c r="U1324" i="34"/>
  <c r="Z1324" i="34"/>
  <c r="A1324" i="34"/>
  <c r="U1341" i="34"/>
  <c r="Z1341" i="34"/>
  <c r="A1341" i="34"/>
  <c r="U1358" i="34"/>
  <c r="Z1358" i="34"/>
  <c r="R1358" i="34"/>
  <c r="S1358" i="34"/>
  <c r="T1358" i="34"/>
  <c r="A1358" i="34"/>
  <c r="U1369" i="34"/>
  <c r="Z1369" i="34"/>
  <c r="A1369" i="34"/>
  <c r="U1373" i="34"/>
  <c r="Z1373" i="34"/>
  <c r="A1373" i="34"/>
  <c r="U1378" i="34"/>
  <c r="Z1378" i="34"/>
  <c r="R1378" i="34"/>
  <c r="S1378" i="34"/>
  <c r="T1378" i="34"/>
  <c r="A1378" i="34"/>
  <c r="U1382" i="34"/>
  <c r="Z1382" i="34"/>
  <c r="A1382" i="34"/>
  <c r="U1387" i="34"/>
  <c r="Z1387" i="34"/>
  <c r="A1387" i="34"/>
  <c r="U1391" i="34"/>
  <c r="Z1391" i="34"/>
  <c r="A1391" i="34"/>
  <c r="U1488" i="34"/>
  <c r="Z1488" i="34"/>
  <c r="A1488" i="34"/>
  <c r="U1492" i="34"/>
  <c r="Z1492" i="34"/>
  <c r="S1492" i="34"/>
  <c r="T1492" i="34"/>
  <c r="R1492" i="34"/>
  <c r="A1492" i="34"/>
  <c r="U1080" i="34"/>
  <c r="Z1080" i="34"/>
  <c r="A1080" i="34"/>
  <c r="U1102" i="34"/>
  <c r="Z1102" i="34"/>
  <c r="T1102" i="34"/>
  <c r="R1102" i="34"/>
  <c r="S1102" i="34"/>
  <c r="A1102" i="34"/>
  <c r="U1115" i="34"/>
  <c r="Z1115" i="34"/>
  <c r="S1115" i="34"/>
  <c r="T1115" i="34"/>
  <c r="R1115" i="34"/>
  <c r="A1115" i="34"/>
  <c r="U1119" i="34"/>
  <c r="Z1119" i="34"/>
  <c r="A1119" i="34"/>
  <c r="U1143" i="34"/>
  <c r="Z1143" i="34"/>
  <c r="S1143" i="34"/>
  <c r="T1143" i="34"/>
  <c r="R1143" i="34"/>
  <c r="A1143" i="34"/>
  <c r="U1147" i="34"/>
  <c r="Z1147" i="34"/>
  <c r="A1147" i="34"/>
  <c r="U1151" i="34"/>
  <c r="Z1151" i="34"/>
  <c r="A1151" i="34"/>
  <c r="U1158" i="34"/>
  <c r="Z1158" i="34"/>
  <c r="A1158" i="34"/>
  <c r="U1165" i="34"/>
  <c r="Z1165" i="34"/>
  <c r="R1165" i="34"/>
  <c r="S1165" i="34"/>
  <c r="T1165" i="34"/>
  <c r="A1165" i="34"/>
  <c r="U1187" i="34"/>
  <c r="Z1187" i="34"/>
  <c r="S1187" i="34"/>
  <c r="T1187" i="34"/>
  <c r="R1187" i="34"/>
  <c r="A1187" i="34"/>
  <c r="U1191" i="34"/>
  <c r="Z1191" i="34"/>
  <c r="A1191" i="34"/>
  <c r="U1195" i="34"/>
  <c r="Z1195" i="34"/>
  <c r="A1195" i="34"/>
  <c r="U1199" i="34"/>
  <c r="Z1199" i="34"/>
  <c r="S1199" i="34"/>
  <c r="T1199" i="34"/>
  <c r="R1199" i="34"/>
  <c r="A1199" i="34"/>
  <c r="U1203" i="34"/>
  <c r="Z1203" i="34"/>
  <c r="S1203" i="34"/>
  <c r="T1203" i="34"/>
  <c r="R1203" i="34"/>
  <c r="A1203" i="34"/>
  <c r="U1210" i="34"/>
  <c r="Z1210" i="34"/>
  <c r="A1210" i="34"/>
  <c r="U1215" i="34"/>
  <c r="Z1215" i="34"/>
  <c r="S1215" i="34"/>
  <c r="T1215" i="34"/>
  <c r="R1215" i="34"/>
  <c r="A1215" i="34"/>
  <c r="U1219" i="34"/>
  <c r="Z1219" i="34"/>
  <c r="A1219" i="34"/>
  <c r="U1240" i="34"/>
  <c r="Z1240" i="34"/>
  <c r="R1240" i="34"/>
  <c r="S1240" i="34"/>
  <c r="T1240" i="34"/>
  <c r="A1240" i="34"/>
  <c r="R1244" i="34"/>
  <c r="S1244" i="34"/>
  <c r="T1244" i="34"/>
  <c r="U1244" i="34"/>
  <c r="Z1244" i="34"/>
  <c r="A1244" i="34"/>
  <c r="U1249" i="34"/>
  <c r="Z1249" i="34"/>
  <c r="A1249" i="34"/>
  <c r="R1254" i="34"/>
  <c r="S1254" i="34"/>
  <c r="T1254" i="34"/>
  <c r="U1254" i="34"/>
  <c r="Z1254" i="34"/>
  <c r="A1254" i="34"/>
  <c r="U1258" i="34"/>
  <c r="Z1258" i="34"/>
  <c r="A1258" i="34"/>
  <c r="U1262" i="34"/>
  <c r="Z1262" i="34"/>
  <c r="A1262" i="34"/>
  <c r="U1266" i="34"/>
  <c r="Z1266" i="34"/>
  <c r="A1266" i="34"/>
  <c r="U1270" i="34"/>
  <c r="Z1270" i="34"/>
  <c r="A1270" i="34"/>
  <c r="R1275" i="34"/>
  <c r="S1275" i="34"/>
  <c r="T1275" i="34"/>
  <c r="U1275" i="34"/>
  <c r="Z1275" i="34"/>
  <c r="A1275" i="34"/>
  <c r="U1279" i="34"/>
  <c r="Z1279" i="34"/>
  <c r="A1279" i="34"/>
  <c r="U1283" i="34"/>
  <c r="Z1283" i="34"/>
  <c r="A1283" i="34"/>
  <c r="R1027" i="34"/>
  <c r="S1027" i="34"/>
  <c r="T1027" i="34"/>
  <c r="U1027" i="34"/>
  <c r="Z1027" i="34"/>
  <c r="A1027" i="34"/>
  <c r="U1032" i="34"/>
  <c r="Z1032" i="34"/>
  <c r="A1032" i="34"/>
  <c r="R1040" i="34"/>
  <c r="S1040" i="34"/>
  <c r="T1040" i="34"/>
  <c r="U1040" i="34"/>
  <c r="Z1040" i="34"/>
  <c r="A1040" i="34"/>
  <c r="U1046" i="34"/>
  <c r="Z1046" i="34"/>
  <c r="A1046" i="34"/>
  <c r="R1051" i="34"/>
  <c r="S1051" i="34"/>
  <c r="T1051" i="34"/>
  <c r="U1051" i="34"/>
  <c r="Z1051" i="34"/>
  <c r="A1051" i="34"/>
  <c r="U1055" i="34"/>
  <c r="Z1055" i="34"/>
  <c r="A1055" i="34"/>
  <c r="U1063" i="34"/>
  <c r="Z1063" i="34"/>
  <c r="A1063" i="34"/>
  <c r="T1068" i="34"/>
  <c r="U1068" i="34"/>
  <c r="Z1068" i="34"/>
  <c r="R1068" i="34"/>
  <c r="S1068" i="34"/>
  <c r="A1068" i="34"/>
  <c r="U1072" i="34"/>
  <c r="Z1072" i="34"/>
  <c r="A1072" i="34"/>
  <c r="U1077" i="34"/>
  <c r="Z1077" i="34"/>
  <c r="A1077" i="34"/>
  <c r="U42" i="34"/>
  <c r="Z42" i="34"/>
  <c r="A42" i="34"/>
  <c r="U49" i="34"/>
  <c r="Z49" i="34"/>
  <c r="A49" i="34"/>
  <c r="U199" i="34"/>
  <c r="Z199" i="34"/>
  <c r="A199" i="34"/>
  <c r="U306" i="34"/>
  <c r="Z306" i="34"/>
  <c r="A306" i="34"/>
  <c r="U1632" i="34"/>
  <c r="Z1632" i="34"/>
  <c r="A1632" i="34"/>
  <c r="U1646" i="34"/>
  <c r="Z1646" i="34"/>
  <c r="R1646" i="34"/>
  <c r="S1646" i="34"/>
  <c r="T1646" i="34"/>
  <c r="A1646" i="34"/>
  <c r="R1666" i="34"/>
  <c r="S1666" i="34"/>
  <c r="T1666" i="34"/>
  <c r="U1666" i="34"/>
  <c r="Z1666" i="34"/>
  <c r="A1666" i="34"/>
  <c r="R1670" i="34"/>
  <c r="S1670" i="34"/>
  <c r="T1670" i="34"/>
  <c r="U1670" i="34"/>
  <c r="Z1670" i="34"/>
  <c r="A1670" i="34"/>
  <c r="U1675" i="34"/>
  <c r="Z1675" i="34"/>
  <c r="A1675" i="34"/>
  <c r="U1729" i="34"/>
  <c r="Z1729" i="34"/>
  <c r="A1729" i="34"/>
  <c r="R1734" i="34"/>
  <c r="S1734" i="34"/>
  <c r="T1734" i="34"/>
  <c r="U1734" i="34"/>
  <c r="Z1734" i="34"/>
  <c r="A1734" i="34"/>
  <c r="U1518" i="34"/>
  <c r="Z1518" i="34"/>
  <c r="A1518" i="34"/>
  <c r="U1522" i="34"/>
  <c r="Z1522" i="34"/>
  <c r="R1522" i="34"/>
  <c r="S1522" i="34"/>
  <c r="T1522" i="34"/>
  <c r="A1522" i="34"/>
  <c r="U1530" i="34"/>
  <c r="Z1530" i="34"/>
  <c r="R1530" i="34"/>
  <c r="S1530" i="34"/>
  <c r="T1530" i="34"/>
  <c r="A1530" i="34"/>
  <c r="U1534" i="34"/>
  <c r="Z1534" i="34"/>
  <c r="R1534" i="34"/>
  <c r="S1534" i="34"/>
  <c r="T1534" i="34"/>
  <c r="A1534" i="34"/>
  <c r="U1538" i="34"/>
  <c r="Z1538" i="34"/>
  <c r="R1538" i="34"/>
  <c r="S1538" i="34"/>
  <c r="T1538" i="34"/>
  <c r="A1538" i="34"/>
  <c r="U1542" i="34"/>
  <c r="Z1542" i="34"/>
  <c r="R1542" i="34"/>
  <c r="S1542" i="34"/>
  <c r="T1542" i="34"/>
  <c r="A1542" i="34"/>
  <c r="U1552" i="34"/>
  <c r="Z1552" i="34"/>
  <c r="S1552" i="34"/>
  <c r="T1552" i="34"/>
  <c r="R1552" i="34"/>
  <c r="A1552" i="34"/>
  <c r="U1556" i="34"/>
  <c r="Z1556" i="34"/>
  <c r="A1556" i="34"/>
  <c r="U1560" i="34"/>
  <c r="Z1560" i="34"/>
  <c r="S1560" i="34"/>
  <c r="T1560" i="34"/>
  <c r="R1560" i="34"/>
  <c r="A1560" i="34"/>
  <c r="U1564" i="34"/>
  <c r="Z1564" i="34"/>
  <c r="S1564" i="34"/>
  <c r="T1564" i="34"/>
  <c r="R1564" i="34"/>
  <c r="A1564" i="34"/>
  <c r="U1580" i="34"/>
  <c r="Z1580" i="34"/>
  <c r="A1580" i="34"/>
  <c r="U1587" i="34"/>
  <c r="Z1587" i="34"/>
  <c r="T1587" i="34"/>
  <c r="R1587" i="34"/>
  <c r="S1587" i="34"/>
  <c r="A1587" i="34"/>
  <c r="U1591" i="34"/>
  <c r="Z1591" i="34"/>
  <c r="T1591" i="34"/>
  <c r="R1591" i="34"/>
  <c r="S1591" i="34"/>
  <c r="A1591" i="34"/>
  <c r="U1770" i="34"/>
  <c r="Z1770" i="34"/>
  <c r="A1770" i="34"/>
  <c r="U181" i="34"/>
  <c r="Z181" i="34"/>
  <c r="A181" i="34"/>
  <c r="U1607" i="34"/>
  <c r="Z1607" i="34"/>
  <c r="A1607" i="34"/>
  <c r="U1611" i="34"/>
  <c r="Z1611" i="34"/>
  <c r="A1611" i="34"/>
  <c r="U1624" i="34"/>
  <c r="Z1624" i="34"/>
  <c r="S1624" i="34"/>
  <c r="T1624" i="34"/>
  <c r="R1624" i="34"/>
  <c r="A1624" i="34"/>
  <c r="U1633" i="34"/>
  <c r="Z1633" i="34"/>
  <c r="A1633" i="34"/>
  <c r="U1644" i="34"/>
  <c r="Z1644" i="34"/>
  <c r="S1644" i="34"/>
  <c r="T1644" i="34"/>
  <c r="R1644" i="34"/>
  <c r="A1644" i="34"/>
  <c r="R1700" i="34"/>
  <c r="S1700" i="34"/>
  <c r="T1700" i="34"/>
  <c r="U1700" i="34"/>
  <c r="Z1700" i="34"/>
  <c r="A1700" i="34"/>
  <c r="R1709" i="34"/>
  <c r="S1709" i="34"/>
  <c r="T1709" i="34"/>
  <c r="U1709" i="34"/>
  <c r="Z1709" i="34"/>
  <c r="A1709" i="34"/>
  <c r="U1716" i="34"/>
  <c r="Z1716" i="34"/>
  <c r="A1716" i="34"/>
  <c r="U1726" i="34"/>
  <c r="Z1726" i="34"/>
  <c r="A1726" i="34"/>
  <c r="T1759" i="34"/>
  <c r="U1759" i="34"/>
  <c r="Z1759" i="34"/>
  <c r="R1759" i="34"/>
  <c r="S1759" i="34"/>
  <c r="A1759" i="34"/>
  <c r="U1775" i="34"/>
  <c r="Z1775" i="34"/>
  <c r="A1775" i="34"/>
  <c r="U1783" i="34"/>
  <c r="Z1783" i="34"/>
  <c r="A1783" i="34"/>
  <c r="U37" i="34"/>
  <c r="Z37" i="34"/>
  <c r="A37" i="34"/>
  <c r="U1353" i="34"/>
  <c r="Z1353" i="34"/>
  <c r="A1353" i="34"/>
  <c r="U1399" i="34"/>
  <c r="Z1399" i="34"/>
  <c r="A1399" i="34"/>
  <c r="U1412" i="34"/>
  <c r="Z1412" i="34"/>
  <c r="A1412" i="34"/>
  <c r="U1416" i="34"/>
  <c r="Z1416" i="34"/>
  <c r="A1416" i="34"/>
  <c r="U1421" i="34"/>
  <c r="Z1421" i="34"/>
  <c r="A1421" i="34"/>
  <c r="U1426" i="34"/>
  <c r="Z1426" i="34"/>
  <c r="A1426" i="34"/>
  <c r="U1430" i="34"/>
  <c r="Z1430" i="34"/>
  <c r="A1430" i="34"/>
  <c r="U1435" i="34"/>
  <c r="Z1435" i="34"/>
  <c r="A1435" i="34"/>
  <c r="U1440" i="34"/>
  <c r="Z1440" i="34"/>
  <c r="A1440" i="34"/>
  <c r="U1444" i="34"/>
  <c r="Z1444" i="34"/>
  <c r="A1444" i="34"/>
  <c r="U1454" i="34"/>
  <c r="Z1454" i="34"/>
  <c r="A1454" i="34"/>
  <c r="U1461" i="34"/>
  <c r="Z1461" i="34"/>
  <c r="R1461" i="34"/>
  <c r="S1461" i="34"/>
  <c r="T1461" i="34"/>
  <c r="A1461" i="34"/>
  <c r="U1466" i="34"/>
  <c r="Z1466" i="34"/>
  <c r="A1466" i="34"/>
  <c r="U1475" i="34"/>
  <c r="Z1475" i="34"/>
  <c r="A1475" i="34"/>
  <c r="U1482" i="34"/>
  <c r="Z1482" i="34"/>
  <c r="A1482" i="34"/>
  <c r="U1304" i="34"/>
  <c r="Z1304" i="34"/>
  <c r="A1304" i="34"/>
  <c r="U1320" i="34"/>
  <c r="Z1320" i="34"/>
  <c r="A1320" i="34"/>
  <c r="U1338" i="34"/>
  <c r="Z1338" i="34"/>
  <c r="A1338" i="34"/>
  <c r="U1342" i="34"/>
  <c r="Z1342" i="34"/>
  <c r="A1342" i="34"/>
  <c r="U1365" i="34"/>
  <c r="Z1365" i="34"/>
  <c r="R1365" i="34"/>
  <c r="S1365" i="34"/>
  <c r="T1365" i="34"/>
  <c r="A1365" i="34"/>
  <c r="U1370" i="34"/>
  <c r="Z1370" i="34"/>
  <c r="A1370" i="34"/>
  <c r="U1374" i="34"/>
  <c r="Z1374" i="34"/>
  <c r="A1374" i="34"/>
  <c r="U1379" i="34"/>
  <c r="Z1379" i="34"/>
  <c r="T1379" i="34"/>
  <c r="R1379" i="34"/>
  <c r="S1379" i="34"/>
  <c r="A1379" i="34"/>
  <c r="U1383" i="34"/>
  <c r="Z1383" i="34"/>
  <c r="A1383" i="34"/>
  <c r="U1388" i="34"/>
  <c r="Z1388" i="34"/>
  <c r="A1388" i="34"/>
  <c r="U1484" i="34"/>
  <c r="Z1484" i="34"/>
  <c r="A1484" i="34"/>
  <c r="U1489" i="34"/>
  <c r="Z1489" i="34"/>
  <c r="A1489" i="34"/>
  <c r="U1493" i="34"/>
  <c r="Z1493" i="34"/>
  <c r="R1493" i="34"/>
  <c r="S1493" i="34"/>
  <c r="T1493" i="34"/>
  <c r="A1493" i="34"/>
  <c r="U1081" i="34"/>
  <c r="Z1081" i="34"/>
  <c r="A1081" i="34"/>
  <c r="U1103" i="34"/>
  <c r="Z1103" i="34"/>
  <c r="A1103" i="34"/>
  <c r="U1116" i="34"/>
  <c r="Z1116" i="34"/>
  <c r="R1116" i="34"/>
  <c r="S1116" i="34"/>
  <c r="T1116" i="34"/>
  <c r="A1116" i="34"/>
  <c r="U1120" i="34"/>
  <c r="Z1120" i="34"/>
  <c r="A1120" i="34"/>
  <c r="U1144" i="34"/>
  <c r="Z1144" i="34"/>
  <c r="R1144" i="34"/>
  <c r="S1144" i="34"/>
  <c r="T1144" i="34"/>
  <c r="A1144" i="34"/>
  <c r="U1148" i="34"/>
  <c r="Z1148" i="34"/>
  <c r="A1148" i="34"/>
  <c r="U1152" i="34"/>
  <c r="Z1152" i="34"/>
  <c r="A1152" i="34"/>
  <c r="U1159" i="34"/>
  <c r="Z1159" i="34"/>
  <c r="A1159" i="34"/>
  <c r="U1166" i="34"/>
  <c r="Z1166" i="34"/>
  <c r="A1166" i="34"/>
  <c r="U1188" i="34"/>
  <c r="Z1188" i="34"/>
  <c r="A1188" i="34"/>
  <c r="U1192" i="34"/>
  <c r="Z1192" i="34"/>
  <c r="A1192" i="34"/>
  <c r="U1196" i="34"/>
  <c r="Z1196" i="34"/>
  <c r="A1196" i="34"/>
  <c r="U1200" i="34"/>
  <c r="Z1200" i="34"/>
  <c r="R1200" i="34"/>
  <c r="S1200" i="34"/>
  <c r="T1200" i="34"/>
  <c r="A1200" i="34"/>
  <c r="U1206" i="34"/>
  <c r="Z1206" i="34"/>
  <c r="A1206" i="34"/>
  <c r="U1211" i="34"/>
  <c r="Z1211" i="34"/>
  <c r="A1211" i="34"/>
  <c r="U1216" i="34"/>
  <c r="Z1216" i="34"/>
  <c r="A1216" i="34"/>
  <c r="U1220" i="34"/>
  <c r="Z1220" i="34"/>
  <c r="A1220" i="34"/>
  <c r="U1241" i="34"/>
  <c r="Z1241" i="34"/>
  <c r="R1241" i="34"/>
  <c r="S1241" i="34"/>
  <c r="T1241" i="34"/>
  <c r="A1241" i="34"/>
  <c r="U1245" i="34"/>
  <c r="Z1245" i="34"/>
  <c r="A1245" i="34"/>
  <c r="U1250" i="34"/>
  <c r="Z1250" i="34"/>
  <c r="A1250" i="34"/>
  <c r="R1255" i="34"/>
  <c r="S1255" i="34"/>
  <c r="T1255" i="34"/>
  <c r="U1255" i="34"/>
  <c r="Z1255" i="34"/>
  <c r="A1255" i="34"/>
  <c r="U1259" i="34"/>
  <c r="Z1259" i="34"/>
  <c r="A1259" i="34"/>
  <c r="U1263" i="34"/>
  <c r="Z1263" i="34"/>
  <c r="A1263" i="34"/>
  <c r="U1267" i="34"/>
  <c r="Z1267" i="34"/>
  <c r="A1267" i="34"/>
  <c r="U1272" i="34"/>
  <c r="Z1272" i="34"/>
  <c r="A1272" i="34"/>
  <c r="R1276" i="34"/>
  <c r="S1276" i="34"/>
  <c r="T1276" i="34"/>
  <c r="U1276" i="34"/>
  <c r="Z1276" i="34"/>
  <c r="A1276" i="34"/>
  <c r="U1280" i="34"/>
  <c r="Z1280" i="34"/>
  <c r="A1280" i="34"/>
  <c r="U1284" i="34"/>
  <c r="Z1284" i="34"/>
  <c r="A1284" i="34"/>
  <c r="U1028" i="34"/>
  <c r="Z1028" i="34"/>
  <c r="A1028" i="34"/>
  <c r="U1035" i="34"/>
  <c r="Z1035" i="34"/>
  <c r="A1035" i="34"/>
  <c r="R1042" i="34"/>
  <c r="S1042" i="34"/>
  <c r="T1042" i="34"/>
  <c r="U1042" i="34"/>
  <c r="Z1042" i="34"/>
  <c r="A1042" i="34"/>
  <c r="U1047" i="34"/>
  <c r="Z1047" i="34"/>
  <c r="A1047" i="34"/>
  <c r="R1052" i="34"/>
  <c r="S1052" i="34"/>
  <c r="T1052" i="34"/>
  <c r="U1052" i="34"/>
  <c r="Z1052" i="34"/>
  <c r="A1052" i="34"/>
  <c r="U1056" i="34"/>
  <c r="Z1056" i="34"/>
  <c r="A1056" i="34"/>
  <c r="U1064" i="34"/>
  <c r="Z1064" i="34"/>
  <c r="A1064" i="34"/>
  <c r="U1069" i="34"/>
  <c r="Z1069" i="34"/>
  <c r="A1069" i="34"/>
  <c r="U1073" i="34"/>
  <c r="Z1073" i="34"/>
  <c r="A1073" i="34"/>
  <c r="U1078" i="34"/>
  <c r="Z1078" i="34"/>
  <c r="A1078" i="34"/>
  <c r="B1013" i="34"/>
  <c r="B1014" i="34"/>
  <c r="B1026" i="34"/>
  <c r="Y202" i="60"/>
  <c r="Y201" i="60"/>
  <c r="B697" i="34"/>
  <c r="B337" i="34"/>
  <c r="S337" i="34" l="1"/>
  <c r="T337" i="34"/>
  <c r="U337" i="34"/>
  <c r="Z337" i="34"/>
  <c r="R337" i="34"/>
  <c r="A337" i="34"/>
  <c r="U697" i="34"/>
  <c r="Z697" i="34"/>
  <c r="A697" i="34"/>
  <c r="U1014" i="34"/>
  <c r="Z1014" i="34"/>
  <c r="A1014" i="34"/>
  <c r="R1026" i="34"/>
  <c r="S1026" i="34"/>
  <c r="T1026" i="34"/>
  <c r="U1026" i="34"/>
  <c r="Z1026" i="34"/>
  <c r="A1026" i="34"/>
  <c r="U1013" i="34"/>
  <c r="Z1013" i="34"/>
  <c r="A1013" i="34"/>
  <c r="T200" i="60"/>
  <c r="C200" i="60" s="1"/>
  <c r="B1765" i="34"/>
  <c r="B1764" i="34"/>
  <c r="B1763" i="34"/>
  <c r="B1762" i="34"/>
  <c r="B101" i="34"/>
  <c r="B100" i="34"/>
  <c r="B99" i="34"/>
  <c r="B98" i="34"/>
  <c r="B97" i="34"/>
  <c r="B61" i="34"/>
  <c r="B60" i="34"/>
  <c r="B40" i="34"/>
  <c r="B39" i="34"/>
  <c r="B1780" i="34"/>
  <c r="B1779" i="34"/>
  <c r="B1769" i="34"/>
  <c r="B1768" i="34"/>
  <c r="B1767" i="34"/>
  <c r="B1766" i="34"/>
  <c r="B320" i="34"/>
  <c r="B172" i="34"/>
  <c r="B171" i="34"/>
  <c r="B170" i="34"/>
  <c r="B169" i="34"/>
  <c r="B168" i="34"/>
  <c r="B103" i="34"/>
  <c r="B102" i="34"/>
  <c r="U170" i="34" l="1"/>
  <c r="Z170" i="34"/>
  <c r="A170" i="34"/>
  <c r="T1763" i="34"/>
  <c r="U1763" i="34"/>
  <c r="Z1763" i="34"/>
  <c r="S1763" i="34"/>
  <c r="R1763" i="34"/>
  <c r="A1763" i="34"/>
  <c r="T1766" i="34"/>
  <c r="U1766" i="34"/>
  <c r="Z1766" i="34"/>
  <c r="R1766" i="34"/>
  <c r="S1766" i="34"/>
  <c r="A1766" i="34"/>
  <c r="U99" i="34"/>
  <c r="Z99" i="34"/>
  <c r="A99" i="34"/>
  <c r="U171" i="34"/>
  <c r="Z171" i="34"/>
  <c r="A171" i="34"/>
  <c r="T1767" i="34"/>
  <c r="U1767" i="34"/>
  <c r="Z1767" i="34"/>
  <c r="S1767" i="34"/>
  <c r="R1767" i="34"/>
  <c r="A1767" i="34"/>
  <c r="U1780" i="34"/>
  <c r="Z1780" i="34"/>
  <c r="A1780" i="34"/>
  <c r="U61" i="34"/>
  <c r="Z61" i="34"/>
  <c r="A61" i="34"/>
  <c r="U100" i="34"/>
  <c r="Z100" i="34"/>
  <c r="A100" i="34"/>
  <c r="T1764" i="34"/>
  <c r="U1764" i="34"/>
  <c r="Z1764" i="34"/>
  <c r="R1764" i="34"/>
  <c r="S1764" i="34"/>
  <c r="A1764" i="34"/>
  <c r="U102" i="34"/>
  <c r="Z102" i="34"/>
  <c r="A102" i="34"/>
  <c r="U60" i="34"/>
  <c r="Z60" i="34"/>
  <c r="A60" i="34"/>
  <c r="U168" i="34"/>
  <c r="Z168" i="34"/>
  <c r="A168" i="34"/>
  <c r="T1768" i="34"/>
  <c r="U1768" i="34"/>
  <c r="Z1768" i="34"/>
  <c r="R1768" i="34"/>
  <c r="S1768" i="34"/>
  <c r="A1768" i="34"/>
  <c r="U39" i="34"/>
  <c r="Z39" i="34"/>
  <c r="A39" i="34"/>
  <c r="U97" i="34"/>
  <c r="Z97" i="34"/>
  <c r="A97" i="34"/>
  <c r="U101" i="34"/>
  <c r="Z101" i="34"/>
  <c r="A101" i="34"/>
  <c r="T1765" i="34"/>
  <c r="U1765" i="34"/>
  <c r="Z1765" i="34"/>
  <c r="R1765" i="34"/>
  <c r="S1765" i="34"/>
  <c r="A1765" i="34"/>
  <c r="U1779" i="34"/>
  <c r="Z1779" i="34"/>
  <c r="A1779" i="34"/>
  <c r="U103" i="34"/>
  <c r="Z103" i="34"/>
  <c r="A103" i="34"/>
  <c r="U172" i="34"/>
  <c r="Z172" i="34"/>
  <c r="A172" i="34"/>
  <c r="U169" i="34"/>
  <c r="Z169" i="34"/>
  <c r="A169" i="34"/>
  <c r="U320" i="34"/>
  <c r="Z320" i="34"/>
  <c r="A320" i="34"/>
  <c r="U1769" i="34"/>
  <c r="Z1769" i="34"/>
  <c r="A1769" i="34"/>
  <c r="U40" i="34"/>
  <c r="Z40" i="34"/>
  <c r="A40" i="34"/>
  <c r="U98" i="34"/>
  <c r="Z98" i="34"/>
  <c r="A98" i="34"/>
  <c r="T1762" i="34"/>
  <c r="U1762" i="34"/>
  <c r="Z1762" i="34"/>
  <c r="R1762" i="34"/>
  <c r="S1762" i="34"/>
  <c r="A1762" i="34"/>
  <c r="Y204" i="60"/>
  <c r="T204" i="60"/>
  <c r="C204" i="60" s="1"/>
  <c r="Y203" i="60"/>
  <c r="T203" i="60"/>
  <c r="C203" i="60" s="1"/>
  <c r="T202" i="60"/>
  <c r="C202" i="60" s="1"/>
  <c r="B587" i="55"/>
  <c r="A587" i="55" s="1"/>
  <c r="A200" i="60" l="1"/>
  <c r="A201" i="60" s="1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B22" i="34"/>
  <c r="U22" i="34" l="1"/>
  <c r="Z22" i="34"/>
  <c r="A22" i="34"/>
  <c r="N11" i="34"/>
  <c r="N12" i="34"/>
  <c r="N13" i="34"/>
  <c r="N14" i="34"/>
  <c r="N15" i="34"/>
  <c r="N16" i="34"/>
  <c r="N10" i="34"/>
  <c r="N5" i="77"/>
  <c r="A31" i="71" l="1"/>
  <c r="E31" i="71"/>
  <c r="B32" i="71"/>
  <c r="G32" i="71"/>
  <c r="C33" i="71"/>
  <c r="H33" i="71"/>
  <c r="D34" i="71"/>
  <c r="A35" i="71"/>
  <c r="E35" i="71"/>
  <c r="B36" i="71"/>
  <c r="G36" i="71"/>
  <c r="C37" i="71"/>
  <c r="H37" i="71"/>
  <c r="D38" i="71"/>
  <c r="A39" i="71"/>
  <c r="E39" i="71"/>
  <c r="B40" i="71"/>
  <c r="G40" i="71"/>
  <c r="C41" i="71"/>
  <c r="H41" i="71"/>
  <c r="D42" i="71"/>
  <c r="B31" i="71"/>
  <c r="G31" i="71"/>
  <c r="C32" i="71"/>
  <c r="H32" i="71"/>
  <c r="D33" i="71"/>
  <c r="A34" i="71"/>
  <c r="E34" i="71"/>
  <c r="B35" i="71"/>
  <c r="G35" i="71"/>
  <c r="C36" i="71"/>
  <c r="H36" i="71"/>
  <c r="D37" i="71"/>
  <c r="A38" i="71"/>
  <c r="E38" i="71"/>
  <c r="B39" i="71"/>
  <c r="G39" i="71"/>
  <c r="C40" i="71"/>
  <c r="H40" i="71"/>
  <c r="D41" i="71"/>
  <c r="A42" i="71"/>
  <c r="E42" i="71"/>
  <c r="C31" i="71"/>
  <c r="H31" i="71"/>
  <c r="D32" i="71"/>
  <c r="A33" i="71"/>
  <c r="E33" i="71"/>
  <c r="B34" i="71"/>
  <c r="G34" i="71"/>
  <c r="C35" i="71"/>
  <c r="H35" i="71"/>
  <c r="D36" i="71"/>
  <c r="A37" i="71"/>
  <c r="E37" i="71"/>
  <c r="B38" i="71"/>
  <c r="G38" i="71"/>
  <c r="C39" i="71"/>
  <c r="H39" i="71"/>
  <c r="D40" i="71"/>
  <c r="A41" i="71"/>
  <c r="E41" i="71"/>
  <c r="B42" i="71"/>
  <c r="G42" i="71"/>
  <c r="D31" i="71"/>
  <c r="A32" i="71"/>
  <c r="E32" i="71"/>
  <c r="B33" i="71"/>
  <c r="G33" i="71"/>
  <c r="C34" i="71"/>
  <c r="H34" i="71"/>
  <c r="D35" i="71"/>
  <c r="A36" i="71"/>
  <c r="E36" i="71"/>
  <c r="B37" i="71"/>
  <c r="G37" i="71"/>
  <c r="C38" i="71"/>
  <c r="H38" i="71"/>
  <c r="D39" i="71"/>
  <c r="A40" i="71"/>
  <c r="E40" i="71"/>
  <c r="B41" i="71"/>
  <c r="G41" i="71"/>
  <c r="C42" i="71"/>
  <c r="H42" i="71"/>
  <c r="A50" i="14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E63" i="14"/>
  <c r="B64" i="14"/>
  <c r="G64" i="14"/>
  <c r="C65" i="14"/>
  <c r="D66" i="14"/>
  <c r="A67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H65" i="14"/>
  <c r="E67" i="14"/>
  <c r="O5" i="77"/>
  <c r="L5" i="75"/>
  <c r="M5" i="75"/>
  <c r="P5" i="74"/>
  <c r="O5" i="74"/>
  <c r="B692" i="34" l="1"/>
  <c r="B696" i="34"/>
  <c r="B335" i="34"/>
  <c r="B336" i="34"/>
  <c r="S336" i="34" l="1"/>
  <c r="T336" i="34"/>
  <c r="U336" i="34"/>
  <c r="Z336" i="34"/>
  <c r="R336" i="34"/>
  <c r="A336" i="34"/>
  <c r="S335" i="34"/>
  <c r="T335" i="34"/>
  <c r="U335" i="34"/>
  <c r="Z335" i="34"/>
  <c r="R335" i="34"/>
  <c r="A335" i="34"/>
  <c r="U696" i="34"/>
  <c r="Z696" i="34"/>
  <c r="A696" i="34"/>
  <c r="U692" i="34"/>
  <c r="Z692" i="34"/>
  <c r="A692" i="34"/>
  <c r="B471" i="34"/>
  <c r="B21" i="34"/>
  <c r="U21" i="34" l="1"/>
  <c r="Z21" i="34"/>
  <c r="A21" i="34"/>
  <c r="U471" i="34"/>
  <c r="Z471" i="34"/>
  <c r="A471" i="34"/>
  <c r="B180" i="34"/>
  <c r="A10" i="12"/>
  <c r="B92" i="34"/>
  <c r="B14" i="55"/>
  <c r="A14" i="55" s="1"/>
  <c r="D5" i="61"/>
  <c r="Y200" i="60"/>
  <c r="T201" i="60"/>
  <c r="C201" i="60" s="1"/>
  <c r="Y199" i="60"/>
  <c r="T199" i="60"/>
  <c r="C199" i="60" s="1"/>
  <c r="Y379" i="60"/>
  <c r="Y380" i="60"/>
  <c r="Y381" i="60"/>
  <c r="Y382" i="60"/>
  <c r="Y451" i="60"/>
  <c r="Y378" i="60"/>
  <c r="T460" i="60"/>
  <c r="C460" i="60" s="1"/>
  <c r="T462" i="60"/>
  <c r="C462" i="60" s="1"/>
  <c r="T461" i="60"/>
  <c r="C461" i="60" s="1"/>
  <c r="T463" i="60"/>
  <c r="C463" i="60" s="1"/>
  <c r="T522" i="60"/>
  <c r="Y460" i="60"/>
  <c r="Y462" i="60"/>
  <c r="Y461" i="60"/>
  <c r="Y463" i="60"/>
  <c r="Y522" i="60"/>
  <c r="Y459" i="60"/>
  <c r="T380" i="60"/>
  <c r="C380" i="60" s="1"/>
  <c r="T381" i="60"/>
  <c r="C381" i="60" s="1"/>
  <c r="T451" i="60"/>
  <c r="Y6" i="60"/>
  <c r="A379" i="60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T6" i="60"/>
  <c r="T378" i="60"/>
  <c r="T379" i="60"/>
  <c r="C379" i="60" s="1"/>
  <c r="T459" i="60"/>
  <c r="C459" i="60" s="1"/>
  <c r="F12" i="61"/>
  <c r="H12" i="61"/>
  <c r="I12" i="61"/>
  <c r="G12" i="61"/>
  <c r="E12" i="61"/>
  <c r="D12" i="61"/>
  <c r="C12" i="61"/>
  <c r="U92" i="34" l="1"/>
  <c r="Z92" i="34"/>
  <c r="A92" i="34"/>
  <c r="U180" i="34"/>
  <c r="Z180" i="34"/>
  <c r="A180" i="34"/>
  <c r="C523" i="60"/>
  <c r="T192" i="60"/>
  <c r="T371" i="60"/>
  <c r="Y523" i="60"/>
  <c r="E523" i="60" s="1"/>
  <c r="Y452" i="60"/>
  <c r="E452" i="60" s="1"/>
  <c r="C378" i="60"/>
  <c r="C6" i="60"/>
  <c r="T523" i="60"/>
  <c r="Y371" i="60"/>
  <c r="E371" i="60" s="1"/>
  <c r="Y192" i="60"/>
  <c r="E192" i="60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 l="1"/>
  <c r="B1796" i="34" l="1"/>
  <c r="B1703" i="34"/>
  <c r="U1703" i="34" l="1"/>
  <c r="Z1703" i="34"/>
  <c r="A1703" i="34"/>
  <c r="U1796" i="34"/>
  <c r="Z1796" i="34"/>
  <c r="A1796" i="34"/>
  <c r="A343" i="55"/>
  <c r="S10" i="34"/>
  <c r="I549" i="55" l="1" a="1"/>
  <c r="I549" i="55" s="1"/>
  <c r="I369" i="55" a="1"/>
  <c r="I369" i="55" s="1"/>
  <c r="I420" i="55" a="1"/>
  <c r="I420" i="55" s="1"/>
  <c r="I579" i="55" a="1"/>
  <c r="I579" i="55" s="1"/>
  <c r="I398" i="55" a="1"/>
  <c r="I398" i="55" s="1"/>
  <c r="I351" i="55" a="1"/>
  <c r="I351" i="55" s="1"/>
  <c r="I507" i="55" a="1"/>
  <c r="I507" i="55" s="1"/>
  <c r="I497" i="55" a="1"/>
  <c r="I497" i="55" s="1"/>
  <c r="I461" i="55" a="1"/>
  <c r="I461" i="55" s="1"/>
  <c r="I429" i="55" a="1"/>
  <c r="I429" i="55" s="1"/>
  <c r="I367" i="55" a="1"/>
  <c r="I367" i="55" s="1"/>
  <c r="I553" i="55" a="1"/>
  <c r="I553" i="55" s="1"/>
  <c r="I430" i="55" a="1"/>
  <c r="I430" i="55" s="1"/>
  <c r="I451" i="55" a="1"/>
  <c r="I451" i="55" s="1"/>
  <c r="I486" i="55" a="1"/>
  <c r="I486" i="55" s="1"/>
  <c r="I402" i="55" a="1"/>
  <c r="I402" i="55" s="1"/>
  <c r="G473" i="55" a="1"/>
  <c r="G473" i="55" s="1"/>
  <c r="G435" i="55" a="1"/>
  <c r="G435" i="55" s="1"/>
  <c r="G433" i="55" a="1"/>
  <c r="G433" i="55" s="1"/>
  <c r="G403" i="55" a="1"/>
  <c r="G403" i="55" s="1"/>
  <c r="G350" i="55" a="1"/>
  <c r="G350" i="55" s="1"/>
  <c r="G358" i="55" a="1"/>
  <c r="G358" i="55" s="1"/>
  <c r="G450" i="55" a="1"/>
  <c r="G450" i="55" s="1"/>
  <c r="G410" i="55" a="1"/>
  <c r="G410" i="55" s="1"/>
  <c r="G388" i="55" a="1"/>
  <c r="G388" i="55" s="1"/>
  <c r="G470" i="55" a="1"/>
  <c r="G470" i="55" s="1"/>
  <c r="G530" i="55" a="1"/>
  <c r="G530" i="55" s="1"/>
  <c r="G425" i="55" a="1"/>
  <c r="G425" i="55" s="1"/>
  <c r="G516" i="55" a="1"/>
  <c r="G516" i="55" s="1"/>
  <c r="G567" i="55" a="1"/>
  <c r="G567" i="55" s="1"/>
  <c r="G546" i="55" a="1"/>
  <c r="G546" i="55" s="1"/>
  <c r="G436" i="55" a="1"/>
  <c r="G436" i="55" s="1"/>
  <c r="G459" i="55" a="1"/>
  <c r="G459" i="55" s="1"/>
  <c r="G573" i="55" a="1"/>
  <c r="G573" i="55" s="1"/>
  <c r="G375" i="55" a="1"/>
  <c r="G375" i="55" s="1"/>
  <c r="G570" i="55" a="1"/>
  <c r="G570" i="55" s="1"/>
  <c r="G501" i="55" a="1"/>
  <c r="G501" i="55" s="1"/>
  <c r="G456" i="55" a="1"/>
  <c r="G456" i="55" s="1"/>
  <c r="G396" i="55" a="1"/>
  <c r="G396" i="55" s="1"/>
  <c r="G502" i="55" a="1"/>
  <c r="G502" i="55" s="1"/>
  <c r="G462" i="55" a="1"/>
  <c r="G462" i="55" s="1"/>
  <c r="I375" i="55" a="1"/>
  <c r="I375" i="55" s="1"/>
  <c r="I501" i="55" a="1"/>
  <c r="I501" i="55" s="1"/>
  <c r="I456" i="55" a="1"/>
  <c r="I456" i="55" s="1"/>
  <c r="I502" i="55" a="1"/>
  <c r="I502" i="55" s="1"/>
  <c r="I447" i="55" a="1"/>
  <c r="I447" i="55" s="1"/>
  <c r="I540" i="55" a="1"/>
  <c r="I540" i="55" s="1"/>
  <c r="I373" i="55" a="1"/>
  <c r="I373" i="55" s="1"/>
  <c r="I473" i="55" a="1"/>
  <c r="I473" i="55" s="1"/>
  <c r="I435" i="55" a="1"/>
  <c r="I435" i="55" s="1"/>
  <c r="I433" i="55" a="1"/>
  <c r="I433" i="55" s="1"/>
  <c r="I403" i="55" a="1"/>
  <c r="I403" i="55" s="1"/>
  <c r="I350" i="55" a="1"/>
  <c r="I350" i="55" s="1"/>
  <c r="I358" i="55" a="1"/>
  <c r="I358" i="55" s="1"/>
  <c r="I450" i="55" a="1"/>
  <c r="I450" i="55" s="1"/>
  <c r="I410" i="55" a="1"/>
  <c r="I410" i="55" s="1"/>
  <c r="I388" i="55" a="1"/>
  <c r="I388" i="55" s="1"/>
  <c r="I470" i="55" a="1"/>
  <c r="I470" i="55" s="1"/>
  <c r="I530" i="55" a="1"/>
  <c r="I530" i="55" s="1"/>
  <c r="I425" i="55" a="1"/>
  <c r="I425" i="55" s="1"/>
  <c r="I516" i="55" a="1"/>
  <c r="I516" i="55" s="1"/>
  <c r="I567" i="55" a="1"/>
  <c r="I567" i="55" s="1"/>
  <c r="I546" i="55" a="1"/>
  <c r="I546" i="55" s="1"/>
  <c r="I436" i="55" a="1"/>
  <c r="I436" i="55" s="1"/>
  <c r="I459" i="55" a="1"/>
  <c r="I459" i="55" s="1"/>
  <c r="I573" i="55" a="1"/>
  <c r="I573" i="55" s="1"/>
  <c r="G549" i="55" a="1"/>
  <c r="G549" i="55" s="1"/>
  <c r="K549" i="55" s="1"/>
  <c r="G369" i="55" a="1"/>
  <c r="G369" i="55" s="1"/>
  <c r="K369" i="55" s="1"/>
  <c r="G420" i="55" a="1"/>
  <c r="G420" i="55" s="1"/>
  <c r="G579" i="55" a="1"/>
  <c r="G579" i="55" s="1"/>
  <c r="G398" i="55" a="1"/>
  <c r="G398" i="55" s="1"/>
  <c r="K398" i="55" s="1"/>
  <c r="G351" i="55" a="1"/>
  <c r="G351" i="55" s="1"/>
  <c r="G507" i="55" a="1"/>
  <c r="G507" i="55" s="1"/>
  <c r="G497" i="55" a="1"/>
  <c r="G497" i="55" s="1"/>
  <c r="K497" i="55" s="1"/>
  <c r="G461" i="55" a="1"/>
  <c r="G461" i="55" s="1"/>
  <c r="G429" i="55" a="1"/>
  <c r="G429" i="55" s="1"/>
  <c r="K429" i="55" s="1"/>
  <c r="G367" i="55" a="1"/>
  <c r="G367" i="55" s="1"/>
  <c r="K367" i="55" s="1"/>
  <c r="G553" i="55" a="1"/>
  <c r="G553" i="55" s="1"/>
  <c r="G430" i="55" a="1"/>
  <c r="G430" i="55" s="1"/>
  <c r="K430" i="55" s="1"/>
  <c r="G451" i="55" a="1"/>
  <c r="G451" i="55" s="1"/>
  <c r="G486" i="55" a="1"/>
  <c r="G486" i="55" s="1"/>
  <c r="K486" i="55" s="1"/>
  <c r="G402" i="55" a="1"/>
  <c r="G402" i="55" s="1"/>
  <c r="K402" i="55" s="1"/>
  <c r="G417" i="55" a="1"/>
  <c r="G417" i="55" s="1"/>
  <c r="G418" i="55" a="1"/>
  <c r="G418" i="55" s="1"/>
  <c r="G489" i="55" a="1"/>
  <c r="G489" i="55" s="1"/>
  <c r="G439" i="55" a="1"/>
  <c r="G439" i="55" s="1"/>
  <c r="G407" i="55" a="1"/>
  <c r="G407" i="55" s="1"/>
  <c r="G515" i="55" a="1"/>
  <c r="G515" i="55" s="1"/>
  <c r="G498" i="55" a="1"/>
  <c r="G498" i="55" s="1"/>
  <c r="I570" i="55" a="1"/>
  <c r="I570" i="55" s="1"/>
  <c r="I396" i="55" a="1"/>
  <c r="I396" i="55" s="1"/>
  <c r="I462" i="55" a="1"/>
  <c r="I462" i="55" s="1"/>
  <c r="I550" i="55" a="1"/>
  <c r="I550" i="55" s="1"/>
  <c r="I392" i="55" a="1"/>
  <c r="I392" i="55" s="1"/>
  <c r="I364" i="55" a="1"/>
  <c r="I364" i="55" s="1"/>
  <c r="I479" i="55" a="1"/>
  <c r="I479" i="55" s="1"/>
  <c r="I555" i="55" a="1"/>
  <c r="I555" i="55" s="1"/>
  <c r="I432" i="55" a="1"/>
  <c r="I432" i="55" s="1"/>
  <c r="G558" i="55" a="1"/>
  <c r="G558" i="55" s="1"/>
  <c r="G483" i="55" a="1"/>
  <c r="G483" i="55" s="1"/>
  <c r="G442" i="55" a="1"/>
  <c r="G442" i="55" s="1"/>
  <c r="G476" i="55" a="1"/>
  <c r="G476" i="55" s="1"/>
  <c r="G389" i="55" a="1"/>
  <c r="G389" i="55" s="1"/>
  <c r="G484" i="55" a="1"/>
  <c r="G484" i="55" s="1"/>
  <c r="G493" i="55" a="1"/>
  <c r="G493" i="55" s="1"/>
  <c r="G521" i="55" a="1"/>
  <c r="G521" i="55" s="1"/>
  <c r="G485" i="55" a="1"/>
  <c r="G485" i="55" s="1"/>
  <c r="G428" i="55" a="1"/>
  <c r="G428" i="55" s="1"/>
  <c r="G537" i="55" a="1"/>
  <c r="G537" i="55" s="1"/>
  <c r="G455" i="55" a="1"/>
  <c r="G455" i="55" s="1"/>
  <c r="G444" i="55" a="1"/>
  <c r="G444" i="55" s="1"/>
  <c r="G475" i="55" a="1"/>
  <c r="G475" i="55" s="1"/>
  <c r="G512" i="55" a="1"/>
  <c r="G512" i="55" s="1"/>
  <c r="I417" i="55" a="1"/>
  <c r="I417" i="55" s="1"/>
  <c r="I439" i="55" a="1"/>
  <c r="I439" i="55" s="1"/>
  <c r="I515" i="55" a="1"/>
  <c r="I515" i="55" s="1"/>
  <c r="G447" i="55" a="1"/>
  <c r="G447" i="55" s="1"/>
  <c r="K447" i="55" s="1"/>
  <c r="G540" i="55" a="1"/>
  <c r="G540" i="55" s="1"/>
  <c r="G373" i="55" a="1"/>
  <c r="G373" i="55" s="1"/>
  <c r="K373" i="55" s="1"/>
  <c r="G555" i="55" a="1"/>
  <c r="G555" i="55" s="1"/>
  <c r="G423" i="55" a="1"/>
  <c r="G423" i="55" s="1"/>
  <c r="I580" i="55" a="1"/>
  <c r="I580" i="55" s="1"/>
  <c r="I542" i="55" a="1"/>
  <c r="I542" i="55" s="1"/>
  <c r="I467" i="55" a="1"/>
  <c r="I467" i="55" s="1"/>
  <c r="I538" i="55" a="1"/>
  <c r="I538" i="55" s="1"/>
  <c r="I556" i="55" a="1"/>
  <c r="I556" i="55" s="1"/>
  <c r="I547" i="55" a="1"/>
  <c r="I547" i="55" s="1"/>
  <c r="I532" i="55" a="1"/>
  <c r="I532" i="55" s="1"/>
  <c r="I557" i="55" a="1"/>
  <c r="I557" i="55" s="1"/>
  <c r="I562" i="55" a="1"/>
  <c r="I562" i="55" s="1"/>
  <c r="I572" i="55" a="1"/>
  <c r="I572" i="55" s="1"/>
  <c r="I366" i="55" a="1"/>
  <c r="I366" i="55" s="1"/>
  <c r="I535" i="55" a="1"/>
  <c r="I535" i="55" s="1"/>
  <c r="I495" i="55" a="1"/>
  <c r="I495" i="55" s="1"/>
  <c r="I482" i="55" a="1"/>
  <c r="I482" i="55" s="1"/>
  <c r="I477" i="55" a="1"/>
  <c r="I477" i="55" s="1"/>
  <c r="I552" i="55" a="1"/>
  <c r="I552" i="55" s="1"/>
  <c r="I423" i="55" a="1"/>
  <c r="I423" i="55" s="1"/>
  <c r="G580" i="55" a="1"/>
  <c r="G580" i="55" s="1"/>
  <c r="G542" i="55" a="1"/>
  <c r="G542" i="55" s="1"/>
  <c r="K542" i="55" s="1"/>
  <c r="G467" i="55" a="1"/>
  <c r="G467" i="55" s="1"/>
  <c r="G538" i="55" a="1"/>
  <c r="G538" i="55" s="1"/>
  <c r="G556" i="55" a="1"/>
  <c r="G556" i="55" s="1"/>
  <c r="G547" i="55" a="1"/>
  <c r="G547" i="55" s="1"/>
  <c r="K547" i="55" s="1"/>
  <c r="G532" i="55" a="1"/>
  <c r="G532" i="55" s="1"/>
  <c r="G557" i="55" a="1"/>
  <c r="G557" i="55" s="1"/>
  <c r="G562" i="55" a="1"/>
  <c r="G562" i="55" s="1"/>
  <c r="G572" i="55" a="1"/>
  <c r="G572" i="55" s="1"/>
  <c r="G366" i="55" a="1"/>
  <c r="G366" i="55" s="1"/>
  <c r="G535" i="55" a="1"/>
  <c r="G535" i="55" s="1"/>
  <c r="G495" i="55" a="1"/>
  <c r="G495" i="55" s="1"/>
  <c r="G482" i="55" a="1"/>
  <c r="G482" i="55" s="1"/>
  <c r="G477" i="55" a="1"/>
  <c r="G477" i="55" s="1"/>
  <c r="G552" i="55" a="1"/>
  <c r="G552" i="55" s="1"/>
  <c r="I418" i="55" a="1"/>
  <c r="I418" i="55" s="1"/>
  <c r="I489" i="55" a="1"/>
  <c r="I489" i="55" s="1"/>
  <c r="I407" i="55" a="1"/>
  <c r="I407" i="55" s="1"/>
  <c r="I498" i="55" a="1"/>
  <c r="I498" i="55" s="1"/>
  <c r="G550" i="55" a="1"/>
  <c r="G550" i="55" s="1"/>
  <c r="G392" i="55" a="1"/>
  <c r="G392" i="55" s="1"/>
  <c r="G364" i="55" a="1"/>
  <c r="G364" i="55" s="1"/>
  <c r="K364" i="55" s="1"/>
  <c r="G479" i="55" a="1"/>
  <c r="G479" i="55" s="1"/>
  <c r="G432" i="55" a="1"/>
  <c r="G432" i="55" s="1"/>
  <c r="I558" i="55" a="1"/>
  <c r="I558" i="55" s="1"/>
  <c r="I483" i="55" a="1"/>
  <c r="I483" i="55" s="1"/>
  <c r="I442" i="55" a="1"/>
  <c r="I442" i="55" s="1"/>
  <c r="I476" i="55" a="1"/>
  <c r="I476" i="55" s="1"/>
  <c r="I389" i="55" a="1"/>
  <c r="I389" i="55" s="1"/>
  <c r="I484" i="55" a="1"/>
  <c r="I484" i="55" s="1"/>
  <c r="I493" i="55" a="1"/>
  <c r="I493" i="55" s="1"/>
  <c r="I521" i="55" a="1"/>
  <c r="I521" i="55" s="1"/>
  <c r="I485" i="55" a="1"/>
  <c r="I485" i="55" s="1"/>
  <c r="I428" i="55" a="1"/>
  <c r="I428" i="55" s="1"/>
  <c r="I537" i="55" a="1"/>
  <c r="I537" i="55" s="1"/>
  <c r="I455" i="55" a="1"/>
  <c r="I455" i="55" s="1"/>
  <c r="I444" i="55" a="1"/>
  <c r="I444" i="55" s="1"/>
  <c r="I475" i="55" a="1"/>
  <c r="I475" i="55" s="1"/>
  <c r="I512" i="55" a="1"/>
  <c r="I512" i="55" s="1"/>
  <c r="G504" i="55" a="1"/>
  <c r="G504" i="55" s="1"/>
  <c r="G560" i="55" a="1"/>
  <c r="G560" i="55" s="1"/>
  <c r="G397" i="55" a="1"/>
  <c r="G397" i="55" s="1"/>
  <c r="G488" i="55" a="1"/>
  <c r="G488" i="55" s="1"/>
  <c r="G499" i="55" a="1"/>
  <c r="G499" i="55" s="1"/>
  <c r="I426" i="55" a="1"/>
  <c r="I426" i="55" s="1"/>
  <c r="I513" i="55" a="1"/>
  <c r="I513" i="55" s="1"/>
  <c r="I575" i="55" a="1"/>
  <c r="I575" i="55" s="1"/>
  <c r="I585" i="55" a="1"/>
  <c r="I585" i="55" s="1"/>
  <c r="I490" i="55" a="1"/>
  <c r="I490" i="55" s="1"/>
  <c r="I406" i="55" a="1"/>
  <c r="I406" i="55" s="1"/>
  <c r="I500" i="55" a="1"/>
  <c r="I500" i="55" s="1"/>
  <c r="I464" i="55" a="1"/>
  <c r="I464" i="55" s="1"/>
  <c r="G518" i="55" a="1"/>
  <c r="G518" i="55" s="1"/>
  <c r="G463" i="55" a="1"/>
  <c r="G463" i="55" s="1"/>
  <c r="G533" i="55" a="1"/>
  <c r="G533" i="55" s="1"/>
  <c r="G522" i="55" a="1"/>
  <c r="G522" i="55" s="1"/>
  <c r="I384" i="55" a="1"/>
  <c r="I384" i="55" s="1"/>
  <c r="I390" i="55" a="1"/>
  <c r="I390" i="55" s="1"/>
  <c r="I385" i="55" a="1"/>
  <c r="I385" i="55" s="1"/>
  <c r="G355" i="55" a="1"/>
  <c r="G355" i="55" s="1"/>
  <c r="G491" i="55" a="1"/>
  <c r="G491" i="55" s="1"/>
  <c r="I449" i="55" a="1"/>
  <c r="I449" i="55" s="1"/>
  <c r="I381" i="55" a="1"/>
  <c r="I381" i="55" s="1"/>
  <c r="G539" i="55" a="1"/>
  <c r="G539" i="55" s="1"/>
  <c r="I361" i="55" a="1"/>
  <c r="I361" i="55" s="1"/>
  <c r="I363" i="55" a="1"/>
  <c r="I363" i="55" s="1"/>
  <c r="G478" i="55" a="1"/>
  <c r="G478" i="55" s="1"/>
  <c r="G415" i="55" a="1"/>
  <c r="G415" i="55" s="1"/>
  <c r="G520" i="55" a="1"/>
  <c r="G520" i="55" s="1"/>
  <c r="G490" i="55" a="1"/>
  <c r="G490" i="55" s="1"/>
  <c r="G406" i="55" a="1"/>
  <c r="G406" i="55" s="1"/>
  <c r="G500" i="55" a="1"/>
  <c r="G500" i="55" s="1"/>
  <c r="G464" i="55" a="1"/>
  <c r="G464" i="55" s="1"/>
  <c r="I518" i="55" a="1"/>
  <c r="I518" i="55" s="1"/>
  <c r="I463" i="55" a="1"/>
  <c r="I463" i="55" s="1"/>
  <c r="I533" i="55" a="1"/>
  <c r="I533" i="55" s="1"/>
  <c r="I522" i="55" a="1"/>
  <c r="I522" i="55" s="1"/>
  <c r="I487" i="55" a="1"/>
  <c r="I487" i="55" s="1"/>
  <c r="I559" i="55" a="1"/>
  <c r="I559" i="55" s="1"/>
  <c r="I480" i="55" a="1"/>
  <c r="I480" i="55" s="1"/>
  <c r="I453" i="55" a="1"/>
  <c r="I453" i="55" s="1"/>
  <c r="I377" i="55" a="1"/>
  <c r="I377" i="55" s="1"/>
  <c r="G511" i="55" a="1"/>
  <c r="G511" i="55" s="1"/>
  <c r="G469" i="55" a="1"/>
  <c r="G469" i="55" s="1"/>
  <c r="G386" i="55" a="1"/>
  <c r="G386" i="55" s="1"/>
  <c r="G405" i="55" a="1"/>
  <c r="G405" i="55" s="1"/>
  <c r="G519" i="55" a="1"/>
  <c r="G519" i="55" s="1"/>
  <c r="I526" i="55" a="1"/>
  <c r="I526" i="55" s="1"/>
  <c r="I528" i="55" a="1"/>
  <c r="I528" i="55" s="1"/>
  <c r="G361" i="55" a="1"/>
  <c r="G361" i="55" s="1"/>
  <c r="G363" i="55" a="1"/>
  <c r="G363" i="55" s="1"/>
  <c r="I561" i="55" a="1"/>
  <c r="I561" i="55" s="1"/>
  <c r="I414" i="55" a="1"/>
  <c r="I414" i="55" s="1"/>
  <c r="I581" i="55" a="1"/>
  <c r="I581" i="55" s="1"/>
  <c r="G384" i="55" a="1"/>
  <c r="G384" i="55" s="1"/>
  <c r="G390" i="55" a="1"/>
  <c r="G390" i="55" s="1"/>
  <c r="G385" i="55" a="1"/>
  <c r="G385" i="55" s="1"/>
  <c r="I577" i="55" a="1"/>
  <c r="I577" i="55" s="1"/>
  <c r="I551" i="55" a="1"/>
  <c r="I551" i="55" s="1"/>
  <c r="G443" i="55" a="1"/>
  <c r="G443" i="55" s="1"/>
  <c r="G434" i="55" a="1"/>
  <c r="G434" i="55" s="1"/>
  <c r="G566" i="55" a="1"/>
  <c r="G566" i="55" s="1"/>
  <c r="G487" i="55" a="1"/>
  <c r="G487" i="55" s="1"/>
  <c r="G559" i="55" a="1"/>
  <c r="G559" i="55" s="1"/>
  <c r="G480" i="55" a="1"/>
  <c r="G480" i="55" s="1"/>
  <c r="G453" i="55" a="1"/>
  <c r="G453" i="55" s="1"/>
  <c r="G377" i="55" a="1"/>
  <c r="G377" i="55" s="1"/>
  <c r="I511" i="55" a="1"/>
  <c r="I511" i="55" s="1"/>
  <c r="I469" i="55" a="1"/>
  <c r="I469" i="55" s="1"/>
  <c r="I386" i="55" a="1"/>
  <c r="I386" i="55" s="1"/>
  <c r="I405" i="55" a="1"/>
  <c r="I405" i="55" s="1"/>
  <c r="I519" i="55" a="1"/>
  <c r="I519" i="55" s="1"/>
  <c r="I505" i="55" a="1"/>
  <c r="I505" i="55" s="1"/>
  <c r="I517" i="55" a="1"/>
  <c r="I517" i="55" s="1"/>
  <c r="I448" i="55" a="1"/>
  <c r="I448" i="55" s="1"/>
  <c r="I548" i="55" a="1"/>
  <c r="I548" i="55" s="1"/>
  <c r="G563" i="55" a="1"/>
  <c r="G563" i="55" s="1"/>
  <c r="G378" i="55" a="1"/>
  <c r="G378" i="55" s="1"/>
  <c r="G586" i="55" a="1"/>
  <c r="G586" i="55" s="1"/>
  <c r="I431" i="55" a="1"/>
  <c r="I431" i="55" s="1"/>
  <c r="I566" i="55" a="1"/>
  <c r="I566" i="55" s="1"/>
  <c r="G577" i="55" a="1"/>
  <c r="G577" i="55" s="1"/>
  <c r="G551" i="55" a="1"/>
  <c r="G551" i="55" s="1"/>
  <c r="I478" i="55" a="1"/>
  <c r="I478" i="55" s="1"/>
  <c r="I415" i="55" a="1"/>
  <c r="I415" i="55" s="1"/>
  <c r="G431" i="55" a="1"/>
  <c r="G431" i="55" s="1"/>
  <c r="G526" i="55" a="1"/>
  <c r="G526" i="55" s="1"/>
  <c r="G528" i="55" a="1"/>
  <c r="G528" i="55" s="1"/>
  <c r="I494" i="55" a="1"/>
  <c r="I494" i="55" s="1"/>
  <c r="G449" i="55" a="1"/>
  <c r="G449" i="55" s="1"/>
  <c r="G381" i="55" a="1"/>
  <c r="G381" i="55" s="1"/>
  <c r="G505" i="55" a="1"/>
  <c r="G505" i="55" s="1"/>
  <c r="G517" i="55" a="1"/>
  <c r="G517" i="55" s="1"/>
  <c r="G448" i="55" a="1"/>
  <c r="G448" i="55" s="1"/>
  <c r="G548" i="55" a="1"/>
  <c r="G548" i="55" s="1"/>
  <c r="I563" i="55" a="1"/>
  <c r="I563" i="55" s="1"/>
  <c r="I378" i="55" a="1"/>
  <c r="I378" i="55" s="1"/>
  <c r="I586" i="55" a="1"/>
  <c r="I586" i="55" s="1"/>
  <c r="I504" i="55" a="1"/>
  <c r="I504" i="55" s="1"/>
  <c r="I560" i="55" a="1"/>
  <c r="I560" i="55" s="1"/>
  <c r="I397" i="55" a="1"/>
  <c r="I397" i="55" s="1"/>
  <c r="I488" i="55" a="1"/>
  <c r="I488" i="55" s="1"/>
  <c r="I499" i="55" a="1"/>
  <c r="I499" i="55" s="1"/>
  <c r="G426" i="55" a="1"/>
  <c r="G426" i="55" s="1"/>
  <c r="G513" i="55" a="1"/>
  <c r="G513" i="55" s="1"/>
  <c r="G575" i="55" a="1"/>
  <c r="G575" i="55" s="1"/>
  <c r="G585" i="55" a="1"/>
  <c r="G585" i="55" s="1"/>
  <c r="I539" i="55" a="1"/>
  <c r="I539" i="55" s="1"/>
  <c r="G494" i="55" a="1"/>
  <c r="G494" i="55" s="1"/>
  <c r="I443" i="55" a="1"/>
  <c r="I443" i="55" s="1"/>
  <c r="I434" i="55" a="1"/>
  <c r="I434" i="55" s="1"/>
  <c r="I520" i="55" a="1"/>
  <c r="I520" i="55" s="1"/>
  <c r="I355" i="55" a="1"/>
  <c r="I355" i="55" s="1"/>
  <c r="I491" i="55" a="1"/>
  <c r="I491" i="55" s="1"/>
  <c r="G561" i="55" a="1"/>
  <c r="G561" i="55" s="1"/>
  <c r="G414" i="55" a="1"/>
  <c r="G414" i="55" s="1"/>
  <c r="G581" i="55" a="1"/>
  <c r="G581" i="55" s="1"/>
  <c r="K581" i="55" s="1"/>
  <c r="A3" i="15"/>
  <c r="A2" i="15"/>
  <c r="N8" i="73"/>
  <c r="M8" i="73"/>
  <c r="A4" i="70"/>
  <c r="A2" i="73"/>
  <c r="A1" i="73"/>
  <c r="K482" i="55" l="1"/>
  <c r="K414" i="55"/>
  <c r="K477" i="55"/>
  <c r="K366" i="55"/>
  <c r="K467" i="55"/>
  <c r="K392" i="55"/>
  <c r="K561" i="55"/>
  <c r="K432" i="55"/>
  <c r="K538" i="55"/>
  <c r="K562" i="55"/>
  <c r="K556" i="55"/>
  <c r="K580" i="55"/>
  <c r="K451" i="55"/>
  <c r="K461" i="55"/>
  <c r="K507" i="55"/>
  <c r="K553" i="55"/>
  <c r="K579" i="55"/>
  <c r="K575" i="55"/>
  <c r="K351" i="55"/>
  <c r="K572" i="55"/>
  <c r="K449" i="55"/>
  <c r="K532" i="55"/>
  <c r="K540" i="55"/>
  <c r="K495" i="55"/>
  <c r="K420" i="55"/>
  <c r="K552" i="55"/>
  <c r="K535" i="55"/>
  <c r="K555" i="55"/>
  <c r="K550" i="55"/>
  <c r="K490" i="55"/>
  <c r="K585" i="55"/>
  <c r="K426" i="55"/>
  <c r="K557" i="55"/>
  <c r="K479" i="55"/>
  <c r="K464" i="55"/>
  <c r="K577" i="55"/>
  <c r="K513" i="55"/>
  <c r="K381" i="55"/>
  <c r="K500" i="55"/>
  <c r="K528" i="55"/>
  <c r="K406" i="55"/>
  <c r="K480" i="55"/>
  <c r="K377" i="55"/>
  <c r="K487" i="55"/>
  <c r="K548" i="55"/>
  <c r="K505" i="55"/>
  <c r="K559" i="55"/>
  <c r="K361" i="55"/>
  <c r="K385" i="55"/>
  <c r="K363" i="55"/>
  <c r="K448" i="55"/>
  <c r="K551" i="55"/>
  <c r="K512" i="55"/>
  <c r="K444" i="55"/>
  <c r="K537" i="55"/>
  <c r="K428" i="55"/>
  <c r="K484" i="55"/>
  <c r="K476" i="55"/>
  <c r="K483" i="55"/>
  <c r="K515" i="55"/>
  <c r="K439" i="55"/>
  <c r="K417" i="55"/>
  <c r="K502" i="55"/>
  <c r="K456" i="55"/>
  <c r="K501" i="55"/>
  <c r="K375" i="55"/>
  <c r="K459" i="55"/>
  <c r="K567" i="55"/>
  <c r="K516" i="55"/>
  <c r="K425" i="55"/>
  <c r="K410" i="55"/>
  <c r="K358" i="55"/>
  <c r="K403" i="55"/>
  <c r="K473" i="55"/>
  <c r="K423" i="55"/>
  <c r="K475" i="55"/>
  <c r="K455" i="55"/>
  <c r="K485" i="55"/>
  <c r="K521" i="55"/>
  <c r="K493" i="55"/>
  <c r="K389" i="55"/>
  <c r="K442" i="55"/>
  <c r="K558" i="55"/>
  <c r="K498" i="55"/>
  <c r="K407" i="55"/>
  <c r="K489" i="55"/>
  <c r="K418" i="55"/>
  <c r="K462" i="55"/>
  <c r="K396" i="55"/>
  <c r="K570" i="55"/>
  <c r="K573" i="55"/>
  <c r="K436" i="55"/>
  <c r="K546" i="55"/>
  <c r="K530" i="55"/>
  <c r="K470" i="55"/>
  <c r="K388" i="55"/>
  <c r="K450" i="55"/>
  <c r="K350" i="55"/>
  <c r="K433" i="55"/>
  <c r="K435" i="55"/>
  <c r="K560" i="55"/>
  <c r="K469" i="55"/>
  <c r="K499" i="55"/>
  <c r="K504" i="55"/>
  <c r="K434" i="55"/>
  <c r="K415" i="55"/>
  <c r="K355" i="55"/>
  <c r="K518" i="55"/>
  <c r="K488" i="55"/>
  <c r="K443" i="55"/>
  <c r="K478" i="55"/>
  <c r="K397" i="55"/>
  <c r="K431" i="55"/>
  <c r="K517" i="55"/>
  <c r="K526" i="55"/>
  <c r="K390" i="55"/>
  <c r="K494" i="55"/>
  <c r="K384" i="55"/>
  <c r="K453" i="55"/>
  <c r="K566" i="55"/>
  <c r="K378" i="55"/>
  <c r="K386" i="55"/>
  <c r="K491" i="55"/>
  <c r="K533" i="55"/>
  <c r="K563" i="55"/>
  <c r="K463" i="55"/>
  <c r="K519" i="55"/>
  <c r="K511" i="55"/>
  <c r="K520" i="55"/>
  <c r="K539" i="55"/>
  <c r="K586" i="55"/>
  <c r="K405" i="55"/>
  <c r="K52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71" i="34" l="1"/>
  <c r="B370" i="34"/>
  <c r="B369" i="34"/>
  <c r="B358" i="34"/>
  <c r="B367" i="34"/>
  <c r="B366" i="34"/>
  <c r="B365" i="34"/>
  <c r="B364" i="34"/>
  <c r="B363" i="34"/>
  <c r="B362" i="34"/>
  <c r="B693" i="34"/>
  <c r="B412" i="34"/>
  <c r="B411" i="34"/>
  <c r="B393" i="34"/>
  <c r="B389" i="34"/>
  <c r="B354" i="34"/>
  <c r="B497" i="34"/>
  <c r="B489" i="34"/>
  <c r="B204" i="34"/>
  <c r="B198" i="34"/>
  <c r="B197" i="34"/>
  <c r="B194" i="34"/>
  <c r="B1011" i="34"/>
  <c r="B177" i="34"/>
  <c r="B1012" i="34"/>
  <c r="B190" i="34"/>
  <c r="B191" i="34"/>
  <c r="B193" i="34"/>
  <c r="B195" i="34"/>
  <c r="B196" i="34"/>
  <c r="B205" i="34"/>
  <c r="B206" i="34"/>
  <c r="B211" i="34"/>
  <c r="B216" i="34"/>
  <c r="B252" i="34"/>
  <c r="B253" i="34"/>
  <c r="B694" i="34"/>
  <c r="B695" i="34"/>
  <c r="B359" i="34"/>
  <c r="B372" i="34"/>
  <c r="B373" i="34"/>
  <c r="B374" i="34"/>
  <c r="B375" i="34"/>
  <c r="B376" i="34"/>
  <c r="B378" i="34"/>
  <c r="B379" i="34"/>
  <c r="B380" i="34"/>
  <c r="B381" i="34"/>
  <c r="B382" i="34"/>
  <c r="B384" i="34"/>
  <c r="B385" i="34"/>
  <c r="B386" i="34"/>
  <c r="B387" i="34"/>
  <c r="B388" i="34"/>
  <c r="B404" i="34"/>
  <c r="B405" i="34"/>
  <c r="B406" i="34"/>
  <c r="B407" i="34"/>
  <c r="B408" i="34"/>
  <c r="B409" i="34"/>
  <c r="B410" i="34"/>
  <c r="B425" i="34"/>
  <c r="B426" i="34"/>
  <c r="B1009" i="34"/>
  <c r="B1010" i="34"/>
  <c r="B428" i="34"/>
  <c r="B487" i="34"/>
  <c r="B488" i="34"/>
  <c r="B505" i="34"/>
  <c r="B506" i="34"/>
  <c r="B507" i="34"/>
  <c r="B508" i="34"/>
  <c r="B509" i="34"/>
  <c r="B510" i="34"/>
  <c r="B511" i="34"/>
  <c r="B525" i="34"/>
  <c r="B526" i="34"/>
  <c r="B527" i="34"/>
  <c r="B528" i="34"/>
  <c r="B414" i="34"/>
  <c r="B420" i="34"/>
  <c r="B421" i="34"/>
  <c r="B422" i="34"/>
  <c r="B423" i="34"/>
  <c r="B474" i="34"/>
  <c r="B475" i="34"/>
  <c r="B482" i="34"/>
  <c r="B483" i="34"/>
  <c r="B515" i="34"/>
  <c r="B516" i="34"/>
  <c r="B517" i="34"/>
  <c r="B518" i="34"/>
  <c r="B519" i="34"/>
  <c r="B520" i="34"/>
  <c r="B521" i="34"/>
  <c r="B522" i="34"/>
  <c r="B523" i="34"/>
  <c r="B552" i="34"/>
  <c r="B553" i="34"/>
  <c r="B561" i="34"/>
  <c r="B562" i="34"/>
  <c r="B563" i="34"/>
  <c r="B564" i="34"/>
  <c r="B565" i="34"/>
  <c r="B566" i="34"/>
  <c r="B567" i="34"/>
  <c r="B568" i="34"/>
  <c r="B569" i="34"/>
  <c r="B570" i="34"/>
  <c r="B572" i="34"/>
  <c r="B573" i="34"/>
  <c r="B574" i="34"/>
  <c r="B575" i="34"/>
  <c r="B576" i="34"/>
  <c r="B577" i="34"/>
  <c r="B578" i="34"/>
  <c r="B579" i="34"/>
  <c r="B580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529" i="34"/>
  <c r="B530" i="34"/>
  <c r="B533" i="34"/>
  <c r="B534" i="34"/>
  <c r="B535" i="34"/>
  <c r="B548" i="34"/>
  <c r="B621" i="34"/>
  <c r="B622" i="34"/>
  <c r="B623" i="34"/>
  <c r="I13" i="71"/>
  <c r="O11" i="42"/>
  <c r="N11" i="42"/>
  <c r="Q1367" i="34" l="1"/>
  <c r="P1367" i="34"/>
  <c r="O1367" i="34"/>
  <c r="O680" i="34"/>
  <c r="P680" i="34"/>
  <c r="Q680" i="34"/>
  <c r="Q599" i="34"/>
  <c r="O599" i="34"/>
  <c r="Q647" i="34"/>
  <c r="P647" i="34"/>
  <c r="Q600" i="34"/>
  <c r="P600" i="34"/>
  <c r="Q604" i="34"/>
  <c r="P604" i="34"/>
  <c r="Q653" i="34"/>
  <c r="P653" i="34"/>
  <c r="Q649" i="34"/>
  <c r="P649" i="34"/>
  <c r="Q1093" i="34"/>
  <c r="O1093" i="34"/>
  <c r="Q1098" i="34"/>
  <c r="P1098" i="34"/>
  <c r="Q1124" i="34"/>
  <c r="P1124" i="34"/>
  <c r="Q1128" i="34"/>
  <c r="P1128" i="34"/>
  <c r="Q1132" i="34"/>
  <c r="P1132" i="34"/>
  <c r="Q1136" i="34"/>
  <c r="P1136" i="34"/>
  <c r="O1308" i="34"/>
  <c r="Q1310" i="34"/>
  <c r="O1312" i="34"/>
  <c r="Q1314" i="34"/>
  <c r="Q308" i="34"/>
  <c r="P308" i="34"/>
  <c r="Q312" i="34"/>
  <c r="Q316" i="34"/>
  <c r="Q603" i="34"/>
  <c r="P1092" i="34"/>
  <c r="P1096" i="34"/>
  <c r="O1097" i="34"/>
  <c r="P1127" i="34"/>
  <c r="P1135" i="34"/>
  <c r="P1139" i="34"/>
  <c r="Q1313" i="34"/>
  <c r="P311" i="34"/>
  <c r="P315" i="34"/>
  <c r="P597" i="34"/>
  <c r="P645" i="34"/>
  <c r="O309" i="34"/>
  <c r="O313" i="34"/>
  <c r="O601" i="34"/>
  <c r="P1094" i="34"/>
  <c r="O1125" i="34"/>
  <c r="O1129" i="34"/>
  <c r="O1133" i="34"/>
  <c r="Q1311" i="34"/>
  <c r="Q309" i="34"/>
  <c r="P313" i="34"/>
  <c r="Q601" i="34"/>
  <c r="P648" i="34"/>
  <c r="O651" i="34"/>
  <c r="O598" i="34"/>
  <c r="O602" i="34"/>
  <c r="O606" i="34"/>
  <c r="O646" i="34"/>
  <c r="O1091" i="34"/>
  <c r="O1095" i="34"/>
  <c r="O1100" i="34"/>
  <c r="O1126" i="34"/>
  <c r="O1130" i="34"/>
  <c r="O1134" i="34"/>
  <c r="O1138" i="34"/>
  <c r="P1308" i="34"/>
  <c r="P1312" i="34"/>
  <c r="P310" i="34"/>
  <c r="P314" i="34"/>
  <c r="O650" i="34"/>
  <c r="O644" i="34"/>
  <c r="O1094" i="34"/>
  <c r="O1099" i="34"/>
  <c r="P1125" i="34"/>
  <c r="P1129" i="34"/>
  <c r="P1133" i="34"/>
  <c r="P1311" i="34"/>
  <c r="O652" i="34"/>
  <c r="P1099" i="34"/>
  <c r="Q1133" i="34"/>
  <c r="O1309" i="34"/>
  <c r="P309" i="34"/>
  <c r="P643" i="34"/>
  <c r="Q652" i="34"/>
  <c r="Q651" i="34"/>
  <c r="P651" i="34"/>
  <c r="Q598" i="34"/>
  <c r="P598" i="34"/>
  <c r="Q602" i="34"/>
  <c r="P602" i="34"/>
  <c r="Q606" i="34"/>
  <c r="P606" i="34"/>
  <c r="Q646" i="34"/>
  <c r="P646" i="34"/>
  <c r="Q1091" i="34"/>
  <c r="P1091" i="34"/>
  <c r="Q1095" i="34"/>
  <c r="P1095" i="34"/>
  <c r="Q1100" i="34"/>
  <c r="P1100" i="34"/>
  <c r="Q1126" i="34"/>
  <c r="P1126" i="34"/>
  <c r="Q1130" i="34"/>
  <c r="P1130" i="34"/>
  <c r="Q1134" i="34"/>
  <c r="P1134" i="34"/>
  <c r="Q1138" i="34"/>
  <c r="P1138" i="34"/>
  <c r="Q1308" i="34"/>
  <c r="O1310" i="34"/>
  <c r="Q1312" i="34"/>
  <c r="O1314" i="34"/>
  <c r="Q310" i="34"/>
  <c r="O310" i="34"/>
  <c r="Q314" i="34"/>
  <c r="O314" i="34"/>
  <c r="Q650" i="34"/>
  <c r="P650" i="34"/>
  <c r="Q644" i="34"/>
  <c r="P644" i="34"/>
  <c r="Q1094" i="34"/>
  <c r="Q1099" i="34"/>
  <c r="Q1137" i="34"/>
  <c r="Q1315" i="34"/>
  <c r="P652" i="34"/>
  <c r="P599" i="34"/>
  <c r="O647" i="34"/>
  <c r="O600" i="34"/>
  <c r="O604" i="34"/>
  <c r="O653" i="34"/>
  <c r="O649" i="34"/>
  <c r="P1093" i="34"/>
  <c r="O1098" i="34"/>
  <c r="O1124" i="34"/>
  <c r="O1128" i="34"/>
  <c r="O1132" i="34"/>
  <c r="O1136" i="34"/>
  <c r="P1310" i="34"/>
  <c r="P1314" i="34"/>
  <c r="O308" i="34"/>
  <c r="O312" i="34"/>
  <c r="O316" i="34"/>
  <c r="P603" i="34"/>
  <c r="O1092" i="34"/>
  <c r="O1096" i="34"/>
  <c r="P1097" i="34"/>
  <c r="O1127" i="34"/>
  <c r="O1131" i="34"/>
  <c r="O1135" i="34"/>
  <c r="O1139" i="34"/>
  <c r="P1309" i="34"/>
  <c r="P1313" i="34"/>
  <c r="O311" i="34"/>
  <c r="O315" i="34"/>
  <c r="O597" i="34"/>
  <c r="O605" i="34"/>
  <c r="O645" i="34"/>
  <c r="P312" i="34"/>
  <c r="P316" i="34"/>
  <c r="O603" i="34"/>
  <c r="Q1092" i="34"/>
  <c r="Q1096" i="34"/>
  <c r="Q1097" i="34"/>
  <c r="Q1127" i="34"/>
  <c r="Q1131" i="34"/>
  <c r="P1131" i="34"/>
  <c r="Q1135" i="34"/>
  <c r="Q1139" i="34"/>
  <c r="Q1309" i="34"/>
  <c r="O1311" i="34"/>
  <c r="O1315" i="34"/>
  <c r="Q311" i="34"/>
  <c r="Q315" i="34"/>
  <c r="Q597" i="34"/>
  <c r="Q605" i="34"/>
  <c r="P605" i="34"/>
  <c r="Q645" i="34"/>
  <c r="P1137" i="34"/>
  <c r="P1315" i="34"/>
  <c r="O643" i="34"/>
  <c r="O648" i="34"/>
  <c r="Q1125" i="34"/>
  <c r="Q1129" i="34"/>
  <c r="O1137" i="34"/>
  <c r="O1313" i="34"/>
  <c r="Q313" i="34"/>
  <c r="Q643" i="34"/>
  <c r="P601" i="34"/>
  <c r="Q648" i="34"/>
  <c r="Q462" i="34"/>
  <c r="O462" i="34"/>
  <c r="Q587" i="34"/>
  <c r="O587" i="34"/>
  <c r="Q463" i="34"/>
  <c r="Q586" i="34"/>
  <c r="Q590" i="34"/>
  <c r="P594" i="34"/>
  <c r="P589" i="34"/>
  <c r="P592" i="34"/>
  <c r="Q591" i="34"/>
  <c r="Q595" i="34"/>
  <c r="O464" i="34"/>
  <c r="O461" i="34"/>
  <c r="O465" i="34"/>
  <c r="O588" i="34"/>
  <c r="O592" i="34"/>
  <c r="P466" i="34"/>
  <c r="P591" i="34"/>
  <c r="O466" i="34"/>
  <c r="O595" i="34"/>
  <c r="Q464" i="34"/>
  <c r="P464" i="34"/>
  <c r="Q461" i="34"/>
  <c r="P461" i="34"/>
  <c r="Q465" i="34"/>
  <c r="P465" i="34"/>
  <c r="Q588" i="34"/>
  <c r="Q592" i="34"/>
  <c r="P462" i="34"/>
  <c r="P587" i="34"/>
  <c r="O463" i="34"/>
  <c r="O586" i="34"/>
  <c r="O590" i="34"/>
  <c r="O594" i="34"/>
  <c r="O589" i="34"/>
  <c r="O593" i="34"/>
  <c r="P463" i="34"/>
  <c r="P586" i="34"/>
  <c r="P590" i="34"/>
  <c r="Q594" i="34"/>
  <c r="Q589" i="34"/>
  <c r="Q593" i="34"/>
  <c r="P593" i="34"/>
  <c r="P595" i="34"/>
  <c r="P588" i="34"/>
  <c r="Q466" i="34"/>
  <c r="O591" i="34"/>
  <c r="Q1647" i="34"/>
  <c r="P1701" i="34"/>
  <c r="P261" i="34"/>
  <c r="P468" i="34"/>
  <c r="O1545" i="34"/>
  <c r="P1325" i="34"/>
  <c r="O655" i="34"/>
  <c r="O1795" i="34"/>
  <c r="Q145" i="34"/>
  <c r="P941" i="34"/>
  <c r="O1112" i="34"/>
  <c r="Q1545" i="34"/>
  <c r="P1545" i="34"/>
  <c r="O1701" i="34"/>
  <c r="Q1325" i="34"/>
  <c r="Q655" i="34"/>
  <c r="P655" i="34"/>
  <c r="Q1795" i="34"/>
  <c r="P1795" i="34"/>
  <c r="Q941" i="34"/>
  <c r="O941" i="34"/>
  <c r="Q1112" i="34"/>
  <c r="P1112" i="34"/>
  <c r="O468" i="34"/>
  <c r="O1456" i="34"/>
  <c r="O261" i="34"/>
  <c r="O1647" i="34"/>
  <c r="Q468" i="34"/>
  <c r="Q1701" i="34"/>
  <c r="O1325" i="34"/>
  <c r="Q1456" i="34"/>
  <c r="P1456" i="34"/>
  <c r="P145" i="34"/>
  <c r="O145" i="34"/>
  <c r="Q261" i="34"/>
  <c r="P1647" i="34"/>
  <c r="P1208" i="34"/>
  <c r="P752" i="34"/>
  <c r="P1109" i="34"/>
  <c r="O1050" i="34"/>
  <c r="Q770" i="34"/>
  <c r="O1109" i="34"/>
  <c r="P869" i="34"/>
  <c r="O770" i="34"/>
  <c r="Q869" i="34"/>
  <c r="Q753" i="34"/>
  <c r="Q1020" i="34"/>
  <c r="O1208" i="34"/>
  <c r="O975" i="34"/>
  <c r="P1050" i="34"/>
  <c r="O752" i="34"/>
  <c r="P1141" i="34"/>
  <c r="O869" i="34"/>
  <c r="Q1208" i="34"/>
  <c r="Q975" i="34"/>
  <c r="P975" i="34"/>
  <c r="Q1050" i="34"/>
  <c r="P981" i="34"/>
  <c r="O981" i="34"/>
  <c r="Q752" i="34"/>
  <c r="Q1141" i="34"/>
  <c r="O1141" i="34"/>
  <c r="P753" i="34"/>
  <c r="O1020" i="34"/>
  <c r="Q981" i="34"/>
  <c r="O753" i="34"/>
  <c r="P1020" i="34"/>
  <c r="P770" i="34"/>
  <c r="Q1109" i="34"/>
  <c r="P734" i="34"/>
  <c r="O581" i="34"/>
  <c r="Q581" i="34"/>
  <c r="P581" i="34"/>
  <c r="O734" i="34"/>
  <c r="Q734" i="34"/>
  <c r="Q1469" i="34"/>
  <c r="P1469" i="34"/>
  <c r="Q1248" i="34"/>
  <c r="Q1432" i="34"/>
  <c r="P1432" i="34"/>
  <c r="Q1214" i="34"/>
  <c r="Q1436" i="34"/>
  <c r="Q1221" i="34"/>
  <c r="Q1652" i="34"/>
  <c r="O1486" i="34"/>
  <c r="O1615" i="34"/>
  <c r="O1377" i="34"/>
  <c r="P1630" i="34"/>
  <c r="O1385" i="34"/>
  <c r="O1392" i="34"/>
  <c r="P1251" i="34"/>
  <c r="Q1251" i="34"/>
  <c r="O1248" i="34"/>
  <c r="Q1615" i="34"/>
  <c r="P1615" i="34"/>
  <c r="Q1377" i="34"/>
  <c r="P1377" i="34"/>
  <c r="Q1630" i="34"/>
  <c r="O1630" i="34"/>
  <c r="Q1385" i="34"/>
  <c r="P1385" i="34"/>
  <c r="Q1392" i="34"/>
  <c r="O1469" i="34"/>
  <c r="P1248" i="34"/>
  <c r="O1432" i="34"/>
  <c r="O1214" i="34"/>
  <c r="O1436" i="34"/>
  <c r="P1221" i="34"/>
  <c r="O1652" i="34"/>
  <c r="P1486" i="34"/>
  <c r="P356" i="34"/>
  <c r="P1214" i="34"/>
  <c r="P1436" i="34"/>
  <c r="O1221" i="34"/>
  <c r="P1652" i="34"/>
  <c r="Q1486" i="34"/>
  <c r="Q356" i="34"/>
  <c r="O1251" i="34"/>
  <c r="P1392" i="34"/>
  <c r="O356" i="34"/>
  <c r="Q890" i="34"/>
  <c r="P890" i="34"/>
  <c r="P1067" i="34"/>
  <c r="O1067" i="34"/>
  <c r="Q761" i="34"/>
  <c r="O761" i="34"/>
  <c r="O1033" i="34"/>
  <c r="Q1162" i="34"/>
  <c r="P1162" i="34"/>
  <c r="Q1715" i="34"/>
  <c r="Q413" i="34"/>
  <c r="P413" i="34"/>
  <c r="Q1730" i="34"/>
  <c r="Q571" i="34"/>
  <c r="O571" i="34"/>
  <c r="O338" i="34"/>
  <c r="P635" i="34"/>
  <c r="Q1106" i="34"/>
  <c r="P718" i="34"/>
  <c r="O969" i="34"/>
  <c r="O1774" i="34"/>
  <c r="P726" i="34"/>
  <c r="Q1057" i="34"/>
  <c r="Q954" i="34"/>
  <c r="Q822" i="34"/>
  <c r="P801" i="34"/>
  <c r="Q1067" i="34"/>
  <c r="O865" i="34"/>
  <c r="P1033" i="34"/>
  <c r="O1074" i="34"/>
  <c r="O424" i="34"/>
  <c r="P338" i="34"/>
  <c r="O1781" i="34"/>
  <c r="O764" i="34"/>
  <c r="P876" i="34"/>
  <c r="P1169" i="34"/>
  <c r="O1785" i="34"/>
  <c r="O1123" i="34"/>
  <c r="P1720" i="34"/>
  <c r="O954" i="34"/>
  <c r="Q1774" i="34"/>
  <c r="O96" i="34"/>
  <c r="O822" i="34"/>
  <c r="Q1720" i="34"/>
  <c r="P96" i="34"/>
  <c r="Q801" i="34"/>
  <c r="O801" i="34"/>
  <c r="P1777" i="34"/>
  <c r="O1777" i="34"/>
  <c r="Q865" i="34"/>
  <c r="P865" i="34"/>
  <c r="Q1033" i="34"/>
  <c r="Q1074" i="34"/>
  <c r="P1074" i="34"/>
  <c r="O1715" i="34"/>
  <c r="O1730" i="34"/>
  <c r="Q424" i="34"/>
  <c r="P424" i="34"/>
  <c r="Q338" i="34"/>
  <c r="Q1781" i="34"/>
  <c r="P1781" i="34"/>
  <c r="Q764" i="34"/>
  <c r="P764" i="34"/>
  <c r="Q876" i="34"/>
  <c r="O1037" i="34"/>
  <c r="Q1169" i="34"/>
  <c r="O1169" i="34"/>
  <c r="Q1785" i="34"/>
  <c r="P1785" i="34"/>
  <c r="Q1123" i="34"/>
  <c r="P954" i="34"/>
  <c r="P822" i="34"/>
  <c r="O890" i="34"/>
  <c r="Q1777" i="34"/>
  <c r="P761" i="34"/>
  <c r="O1162" i="34"/>
  <c r="P1715" i="34"/>
  <c r="O413" i="34"/>
  <c r="P1730" i="34"/>
  <c r="P571" i="34"/>
  <c r="O635" i="34"/>
  <c r="P1037" i="34"/>
  <c r="O1106" i="34"/>
  <c r="O718" i="34"/>
  <c r="P969" i="34"/>
  <c r="O726" i="34"/>
  <c r="O993" i="34"/>
  <c r="P1057" i="34"/>
  <c r="P1153" i="34"/>
  <c r="Q635" i="34"/>
  <c r="O876" i="34"/>
  <c r="Q1037" i="34"/>
  <c r="P1106" i="34"/>
  <c r="Q718" i="34"/>
  <c r="Q969" i="34"/>
  <c r="O1720" i="34"/>
  <c r="P1774" i="34"/>
  <c r="Q726" i="34"/>
  <c r="Q993" i="34"/>
  <c r="P993" i="34"/>
  <c r="Q1153" i="34"/>
  <c r="O1153" i="34"/>
  <c r="P1123" i="34"/>
  <c r="Q96" i="34"/>
  <c r="O1057" i="34"/>
  <c r="P1271" i="34"/>
  <c r="O1322" i="34"/>
  <c r="O1271" i="34"/>
  <c r="Q1271" i="34"/>
  <c r="Q1322" i="34"/>
  <c r="P1322" i="34"/>
  <c r="Q1515" i="34"/>
  <c r="P1515" i="34"/>
  <c r="O1515" i="34"/>
  <c r="Q1472" i="34"/>
  <c r="P1472" i="34"/>
  <c r="O1472" i="34"/>
  <c r="P1041" i="34"/>
  <c r="Q1111" i="34"/>
  <c r="P1111" i="34"/>
  <c r="O1041" i="34"/>
  <c r="Q1110" i="34"/>
  <c r="O1043" i="34"/>
  <c r="Q1043" i="34"/>
  <c r="O1110" i="34"/>
  <c r="Q1041" i="34"/>
  <c r="P1043" i="34"/>
  <c r="O1111" i="34"/>
  <c r="P1110" i="34"/>
  <c r="Q279" i="34"/>
  <c r="P279" i="34"/>
  <c r="Q434" i="34"/>
  <c r="O434" i="34"/>
  <c r="O1090" i="34"/>
  <c r="Q1090" i="34"/>
  <c r="P1090" i="34"/>
  <c r="O279" i="34"/>
  <c r="P434" i="34"/>
  <c r="Q668" i="34"/>
  <c r="P668" i="34"/>
  <c r="O668" i="34"/>
  <c r="Q560" i="34"/>
  <c r="O560" i="34"/>
  <c r="Q63" i="34"/>
  <c r="P63" i="34"/>
  <c r="P1086" i="34"/>
  <c r="P183" i="34"/>
  <c r="O1086" i="34"/>
  <c r="O183" i="34"/>
  <c r="Q183" i="34"/>
  <c r="P560" i="34"/>
  <c r="O63" i="34"/>
  <c r="Q1086" i="34"/>
  <c r="Q807" i="34"/>
  <c r="P807" i="34"/>
  <c r="O807" i="34"/>
  <c r="O868" i="34"/>
  <c r="Q843" i="34"/>
  <c r="O872" i="34"/>
  <c r="O860" i="34"/>
  <c r="Q868" i="34"/>
  <c r="Q860" i="34"/>
  <c r="P860" i="34"/>
  <c r="P868" i="34"/>
  <c r="P872" i="34"/>
  <c r="O843" i="34"/>
  <c r="P843" i="34"/>
  <c r="Q872" i="34"/>
  <c r="P50" i="34"/>
  <c r="O50" i="34"/>
  <c r="Q210" i="34"/>
  <c r="P210" i="34"/>
  <c r="Q43" i="34"/>
  <c r="P43" i="34"/>
  <c r="Q50" i="34"/>
  <c r="P46" i="34"/>
  <c r="O214" i="34"/>
  <c r="Q46" i="34"/>
  <c r="O46" i="34"/>
  <c r="Q214" i="34"/>
  <c r="O210" i="34"/>
  <c r="O43" i="34"/>
  <c r="P214" i="34"/>
  <c r="Q929" i="34"/>
  <c r="O929" i="34"/>
  <c r="Q930" i="34"/>
  <c r="P930" i="34"/>
  <c r="Q913" i="34"/>
  <c r="O913" i="34"/>
  <c r="Q911" i="34"/>
  <c r="P911" i="34"/>
  <c r="Q926" i="34"/>
  <c r="P926" i="34"/>
  <c r="Q919" i="34"/>
  <c r="P919" i="34"/>
  <c r="Q443" i="34"/>
  <c r="P443" i="34"/>
  <c r="Q453" i="34"/>
  <c r="P453" i="34"/>
  <c r="Q446" i="34"/>
  <c r="O446" i="34"/>
  <c r="Q109" i="34"/>
  <c r="O109" i="34"/>
  <c r="Q115" i="34"/>
  <c r="P115" i="34"/>
  <c r="Q121" i="34"/>
  <c r="O121" i="34"/>
  <c r="Q144" i="34"/>
  <c r="P144" i="34"/>
  <c r="Q138" i="34"/>
  <c r="P138" i="34"/>
  <c r="P156" i="34"/>
  <c r="O156" i="34"/>
  <c r="P149" i="34"/>
  <c r="O149" i="34"/>
  <c r="Q202" i="34"/>
  <c r="P202" i="34"/>
  <c r="Q538" i="34"/>
  <c r="P538" i="34"/>
  <c r="Q938" i="34"/>
  <c r="P938" i="34"/>
  <c r="O1752" i="34"/>
  <c r="Q1697" i="34"/>
  <c r="Q1604" i="34"/>
  <c r="P1604" i="34"/>
  <c r="Q1502" i="34"/>
  <c r="O1502" i="34"/>
  <c r="P1334" i="34"/>
  <c r="O1334" i="34"/>
  <c r="Q1295" i="34"/>
  <c r="Q1180" i="34"/>
  <c r="P1180" i="34"/>
  <c r="Q1025" i="34"/>
  <c r="Q957" i="34"/>
  <c r="O957" i="34"/>
  <c r="Q737" i="34"/>
  <c r="O737" i="34"/>
  <c r="Q500" i="34"/>
  <c r="P500" i="34"/>
  <c r="Q400" i="34"/>
  <c r="P400" i="34"/>
  <c r="Q923" i="34"/>
  <c r="P923" i="34"/>
  <c r="Q904" i="34"/>
  <c r="P904" i="34"/>
  <c r="Q905" i="34"/>
  <c r="O905" i="34"/>
  <c r="Q112" i="34"/>
  <c r="P112" i="34"/>
  <c r="Q129" i="34"/>
  <c r="O129" i="34"/>
  <c r="Q143" i="34"/>
  <c r="P143" i="34"/>
  <c r="P157" i="34"/>
  <c r="O157" i="34"/>
  <c r="P150" i="34"/>
  <c r="O150" i="34"/>
  <c r="Q213" i="34"/>
  <c r="O213" i="34"/>
  <c r="Q654" i="34"/>
  <c r="P654" i="34"/>
  <c r="O1745" i="34"/>
  <c r="Q1684" i="34"/>
  <c r="Q1599" i="34"/>
  <c r="P1599" i="34"/>
  <c r="Q1481" i="34"/>
  <c r="P1481" i="34"/>
  <c r="P1330" i="34"/>
  <c r="O932" i="34"/>
  <c r="O915" i="34"/>
  <c r="O907" i="34"/>
  <c r="O903" i="34"/>
  <c r="O916" i="34"/>
  <c r="O457" i="34"/>
  <c r="O445" i="34"/>
  <c r="P450" i="34"/>
  <c r="O107" i="34"/>
  <c r="O111" i="34"/>
  <c r="P125" i="34"/>
  <c r="O123" i="34"/>
  <c r="P141" i="34"/>
  <c r="P134" i="34"/>
  <c r="Q156" i="34"/>
  <c r="Q149" i="34"/>
  <c r="P185" i="34"/>
  <c r="O215" i="34"/>
  <c r="P607" i="34"/>
  <c r="O1789" i="34"/>
  <c r="P1752" i="34"/>
  <c r="O1568" i="34"/>
  <c r="P1362" i="34"/>
  <c r="Q1334" i="34"/>
  <c r="O832" i="34"/>
  <c r="O672" i="34"/>
  <c r="P442" i="34"/>
  <c r="O324" i="34"/>
  <c r="O922" i="34"/>
  <c r="O902" i="34"/>
  <c r="O448" i="34"/>
  <c r="O116" i="34"/>
  <c r="O120" i="34"/>
  <c r="P136" i="34"/>
  <c r="Q157" i="34"/>
  <c r="Q150" i="34"/>
  <c r="P201" i="34"/>
  <c r="O540" i="34"/>
  <c r="P937" i="34"/>
  <c r="P1745" i="34"/>
  <c r="P1526" i="34"/>
  <c r="O1357" i="34"/>
  <c r="Q1330" i="34"/>
  <c r="P1019" i="34"/>
  <c r="O806" i="34"/>
  <c r="O661" i="34"/>
  <c r="O437" i="34"/>
  <c r="O321" i="34"/>
  <c r="P917" i="34"/>
  <c r="P901" i="34"/>
  <c r="O927" i="34"/>
  <c r="O918" i="34"/>
  <c r="P909" i="34"/>
  <c r="O455" i="34"/>
  <c r="O452" i="34"/>
  <c r="O447" i="34"/>
  <c r="O108" i="34"/>
  <c r="P113" i="34"/>
  <c r="P126" i="34"/>
  <c r="Q932" i="34"/>
  <c r="P932" i="34"/>
  <c r="Q915" i="34"/>
  <c r="P915" i="34"/>
  <c r="Q907" i="34"/>
  <c r="P907" i="34"/>
  <c r="Q903" i="34"/>
  <c r="P903" i="34"/>
  <c r="Q916" i="34"/>
  <c r="P916" i="34"/>
  <c r="Q457" i="34"/>
  <c r="P457" i="34"/>
  <c r="Q445" i="34"/>
  <c r="P445" i="34"/>
  <c r="Q450" i="34"/>
  <c r="O450" i="34"/>
  <c r="Q107" i="34"/>
  <c r="P107" i="34"/>
  <c r="Q111" i="34"/>
  <c r="P111" i="34"/>
  <c r="Q125" i="34"/>
  <c r="O125" i="34"/>
  <c r="Q123" i="34"/>
  <c r="P123" i="34"/>
  <c r="Q141" i="34"/>
  <c r="O141" i="34"/>
  <c r="Q134" i="34"/>
  <c r="O134" i="34"/>
  <c r="P155" i="34"/>
  <c r="O155" i="34"/>
  <c r="Q185" i="34"/>
  <c r="O185" i="34"/>
  <c r="Q215" i="34"/>
  <c r="P215" i="34"/>
  <c r="Q607" i="34"/>
  <c r="O607" i="34"/>
  <c r="Q1789" i="34"/>
  <c r="P1789" i="34"/>
  <c r="Q1752" i="34"/>
  <c r="O1697" i="34"/>
  <c r="Q1568" i="34"/>
  <c r="P1568" i="34"/>
  <c r="Q1362" i="34"/>
  <c r="O1362" i="34"/>
  <c r="O1295" i="34"/>
  <c r="O1025" i="34"/>
  <c r="Q832" i="34"/>
  <c r="P832" i="34"/>
  <c r="Q672" i="34"/>
  <c r="P672" i="34"/>
  <c r="Q442" i="34"/>
  <c r="O442" i="34"/>
  <c r="Q324" i="34"/>
  <c r="P324" i="34"/>
  <c r="Q922" i="34"/>
  <c r="P922" i="34"/>
  <c r="Q902" i="34"/>
  <c r="P902" i="34"/>
  <c r="P929" i="34"/>
  <c r="O930" i="34"/>
  <c r="P913" i="34"/>
  <c r="O911" i="34"/>
  <c r="O926" i="34"/>
  <c r="O919" i="34"/>
  <c r="O443" i="34"/>
  <c r="O453" i="34"/>
  <c r="P446" i="34"/>
  <c r="P109" i="34"/>
  <c r="O115" i="34"/>
  <c r="P121" i="34"/>
  <c r="O144" i="34"/>
  <c r="O138" i="34"/>
  <c r="Q155" i="34"/>
  <c r="O202" i="34"/>
  <c r="O538" i="34"/>
  <c r="O938" i="34"/>
  <c r="P1697" i="34"/>
  <c r="O1604" i="34"/>
  <c r="P1502" i="34"/>
  <c r="P1295" i="34"/>
  <c r="O1180" i="34"/>
  <c r="P1025" i="34"/>
  <c r="P957" i="34"/>
  <c r="P737" i="34"/>
  <c r="O500" i="34"/>
  <c r="O400" i="34"/>
  <c r="O923" i="34"/>
  <c r="O904" i="34"/>
  <c r="P905" i="34"/>
  <c r="O112" i="34"/>
  <c r="P129" i="34"/>
  <c r="O143" i="34"/>
  <c r="Q152" i="34"/>
  <c r="P213" i="34"/>
  <c r="O654" i="34"/>
  <c r="P1684" i="34"/>
  <c r="O1599" i="34"/>
  <c r="O1481" i="34"/>
  <c r="P1291" i="34"/>
  <c r="O1175" i="34"/>
  <c r="O936" i="34"/>
  <c r="O707" i="34"/>
  <c r="O542" i="34"/>
  <c r="O396" i="34"/>
  <c r="O910" i="34"/>
  <c r="O908" i="34"/>
  <c r="O914" i="34"/>
  <c r="P921" i="34"/>
  <c r="O924" i="34"/>
  <c r="P925" i="34"/>
  <c r="O444" i="34"/>
  <c r="O451" i="34"/>
  <c r="O106" i="34"/>
  <c r="O110" i="34"/>
  <c r="P127" i="34"/>
  <c r="O122" i="34"/>
  <c r="P137" i="34"/>
  <c r="Q1745" i="34"/>
  <c r="O1684" i="34"/>
  <c r="O1291" i="34"/>
  <c r="P1175" i="34"/>
  <c r="Q806" i="34"/>
  <c r="P707" i="34"/>
  <c r="Q437" i="34"/>
  <c r="P396" i="34"/>
  <c r="Q917" i="34"/>
  <c r="P908" i="34"/>
  <c r="Q927" i="34"/>
  <c r="O921" i="34"/>
  <c r="Q909" i="34"/>
  <c r="O925" i="34"/>
  <c r="Q452" i="34"/>
  <c r="P451" i="34"/>
  <c r="Q108" i="34"/>
  <c r="P110" i="34"/>
  <c r="Q126" i="34"/>
  <c r="P122" i="34"/>
  <c r="Q137" i="34"/>
  <c r="O139" i="34"/>
  <c r="Q148" i="34"/>
  <c r="P184" i="34"/>
  <c r="O939" i="34"/>
  <c r="P1739" i="34"/>
  <c r="O1513" i="34"/>
  <c r="P1346" i="34"/>
  <c r="P1307" i="34"/>
  <c r="O1231" i="34"/>
  <c r="O966" i="34"/>
  <c r="O784" i="34"/>
  <c r="O585" i="34"/>
  <c r="O431" i="34"/>
  <c r="P349" i="34"/>
  <c r="O931" i="34"/>
  <c r="O928" i="34"/>
  <c r="O920" i="34"/>
  <c r="O449" i="34"/>
  <c r="P128" i="34"/>
  <c r="O142" i="34"/>
  <c r="Q153" i="34"/>
  <c r="O467" i="34"/>
  <c r="O596" i="34"/>
  <c r="O940" i="34"/>
  <c r="P1755" i="34"/>
  <c r="O1585" i="34"/>
  <c r="O1403" i="34"/>
  <c r="Q1337" i="34"/>
  <c r="P769" i="34"/>
  <c r="P557" i="34"/>
  <c r="O419" i="34"/>
  <c r="Q1291" i="34"/>
  <c r="Q1175" i="34"/>
  <c r="O1019" i="34"/>
  <c r="Q707" i="34"/>
  <c r="P661" i="34"/>
  <c r="Q396" i="34"/>
  <c r="P321" i="34"/>
  <c r="Q908" i="34"/>
  <c r="O901" i="34"/>
  <c r="Q921" i="34"/>
  <c r="P918" i="34"/>
  <c r="Q925" i="34"/>
  <c r="P455" i="34"/>
  <c r="Q451" i="34"/>
  <c r="P447" i="34"/>
  <c r="Q110" i="34"/>
  <c r="O113" i="34"/>
  <c r="Q122" i="34"/>
  <c r="P124" i="34"/>
  <c r="Q139" i="34"/>
  <c r="P139" i="34"/>
  <c r="P154" i="34"/>
  <c r="O154" i="34"/>
  <c r="Q184" i="34"/>
  <c r="O184" i="34"/>
  <c r="Q541" i="34"/>
  <c r="O541" i="34"/>
  <c r="Q939" i="34"/>
  <c r="P939" i="34"/>
  <c r="Q1739" i="34"/>
  <c r="O1664" i="34"/>
  <c r="Q1513" i="34"/>
  <c r="P1513" i="34"/>
  <c r="Q1346" i="34"/>
  <c r="O1346" i="34"/>
  <c r="Q1307" i="34"/>
  <c r="Q1231" i="34"/>
  <c r="P1231" i="34"/>
  <c r="Q966" i="34"/>
  <c r="P966" i="34"/>
  <c r="Q784" i="34"/>
  <c r="P784" i="34"/>
  <c r="Q585" i="34"/>
  <c r="P585" i="34"/>
  <c r="Q431" i="34"/>
  <c r="P431" i="34"/>
  <c r="Q349" i="34"/>
  <c r="Q931" i="34"/>
  <c r="P931" i="34"/>
  <c r="Q928" i="34"/>
  <c r="P928" i="34"/>
  <c r="Q920" i="34"/>
  <c r="P920" i="34"/>
  <c r="Q449" i="34"/>
  <c r="P449" i="34"/>
  <c r="Q128" i="34"/>
  <c r="O128" i="34"/>
  <c r="Q142" i="34"/>
  <c r="P142" i="34"/>
  <c r="P158" i="34"/>
  <c r="O158" i="34"/>
  <c r="P151" i="34"/>
  <c r="O151" i="34"/>
  <c r="Q467" i="34"/>
  <c r="P467" i="34"/>
  <c r="Q596" i="34"/>
  <c r="P596" i="34"/>
  <c r="Q940" i="34"/>
  <c r="P940" i="34"/>
  <c r="Q1755" i="34"/>
  <c r="P448" i="34"/>
  <c r="P116" i="34"/>
  <c r="P120" i="34"/>
  <c r="O136" i="34"/>
  <c r="O152" i="34"/>
  <c r="O201" i="34"/>
  <c r="P540" i="34"/>
  <c r="O937" i="34"/>
  <c r="O1526" i="34"/>
  <c r="P1357" i="34"/>
  <c r="O1330" i="34"/>
  <c r="Q1019" i="34"/>
  <c r="P936" i="34"/>
  <c r="Q661" i="34"/>
  <c r="P542" i="34"/>
  <c r="Q321" i="34"/>
  <c r="P910" i="34"/>
  <c r="Q901" i="34"/>
  <c r="P914" i="34"/>
  <c r="Q918" i="34"/>
  <c r="P924" i="34"/>
  <c r="Q455" i="34"/>
  <c r="P444" i="34"/>
  <c r="Q447" i="34"/>
  <c r="P106" i="34"/>
  <c r="Q113" i="34"/>
  <c r="O127" i="34"/>
  <c r="Q124" i="34"/>
  <c r="O124" i="34"/>
  <c r="P135" i="34"/>
  <c r="Q154" i="34"/>
  <c r="O212" i="34"/>
  <c r="P541" i="34"/>
  <c r="P689" i="34"/>
  <c r="P1664" i="34"/>
  <c r="O1595" i="34"/>
  <c r="O1451" i="34"/>
  <c r="O1172" i="34"/>
  <c r="O835" i="34"/>
  <c r="O688" i="34"/>
  <c r="O493" i="34"/>
  <c r="O906" i="34"/>
  <c r="O912" i="34"/>
  <c r="O456" i="34"/>
  <c r="O114" i="34"/>
  <c r="O119" i="34"/>
  <c r="O140" i="34"/>
  <c r="Q158" i="34"/>
  <c r="Q151" i="34"/>
  <c r="O203" i="34"/>
  <c r="O539" i="34"/>
  <c r="O690" i="34"/>
  <c r="P1725" i="34"/>
  <c r="O1656" i="34"/>
  <c r="P1506" i="34"/>
  <c r="P1294" i="34"/>
  <c r="O1224" i="34"/>
  <c r="P1060" i="34"/>
  <c r="O960" i="34"/>
  <c r="P685" i="34"/>
  <c r="O479" i="34"/>
  <c r="O329" i="34"/>
  <c r="Q448" i="34"/>
  <c r="Q116" i="34"/>
  <c r="Q120" i="34"/>
  <c r="Q136" i="34"/>
  <c r="P152" i="34"/>
  <c r="Q201" i="34"/>
  <c r="Q540" i="34"/>
  <c r="Q937" i="34"/>
  <c r="Q1526" i="34"/>
  <c r="Q1357" i="34"/>
  <c r="Q936" i="34"/>
  <c r="P806" i="34"/>
  <c r="Q542" i="34"/>
  <c r="P437" i="34"/>
  <c r="Q910" i="34"/>
  <c r="O917" i="34"/>
  <c r="Q914" i="34"/>
  <c r="P927" i="34"/>
  <c r="Q924" i="34"/>
  <c r="O909" i="34"/>
  <c r="Q444" i="34"/>
  <c r="P452" i="34"/>
  <c r="Q106" i="34"/>
  <c r="P108" i="34"/>
  <c r="Q127" i="34"/>
  <c r="O126" i="34"/>
  <c r="O137" i="34"/>
  <c r="Q135" i="34"/>
  <c r="O135" i="34"/>
  <c r="P148" i="34"/>
  <c r="O148" i="34"/>
  <c r="Q212" i="34"/>
  <c r="P212" i="34"/>
  <c r="Q689" i="34"/>
  <c r="O689" i="34"/>
  <c r="O1739" i="34"/>
  <c r="Q1664" i="34"/>
  <c r="Q1595" i="34"/>
  <c r="P1595" i="34"/>
  <c r="Q1451" i="34"/>
  <c r="P1451" i="34"/>
  <c r="O1307" i="34"/>
  <c r="Q1172" i="34"/>
  <c r="P1172" i="34"/>
  <c r="Q835" i="34"/>
  <c r="P835" i="34"/>
  <c r="Q688" i="34"/>
  <c r="P688" i="34"/>
  <c r="Q493" i="34"/>
  <c r="P493" i="34"/>
  <c r="O349" i="34"/>
  <c r="Q906" i="34"/>
  <c r="P906" i="34"/>
  <c r="Q912" i="34"/>
  <c r="P912" i="34"/>
  <c r="Q456" i="34"/>
  <c r="P456" i="34"/>
  <c r="Q114" i="34"/>
  <c r="P114" i="34"/>
  <c r="Q119" i="34"/>
  <c r="P119" i="34"/>
  <c r="Q140" i="34"/>
  <c r="P140" i="34"/>
  <c r="P153" i="34"/>
  <c r="O153" i="34"/>
  <c r="Q203" i="34"/>
  <c r="P203" i="34"/>
  <c r="Q539" i="34"/>
  <c r="P539" i="34"/>
  <c r="Q690" i="34"/>
  <c r="P690" i="34"/>
  <c r="O1755" i="34"/>
  <c r="Q1725" i="34"/>
  <c r="Q1656" i="34"/>
  <c r="P1656" i="34"/>
  <c r="Q1506" i="34"/>
  <c r="O1506" i="34"/>
  <c r="P1337" i="34"/>
  <c r="O1337" i="34"/>
  <c r="Q1294" i="34"/>
  <c r="Q1224" i="34"/>
  <c r="P1224" i="34"/>
  <c r="Q1060" i="34"/>
  <c r="Q960" i="34"/>
  <c r="P960" i="34"/>
  <c r="O1294" i="34"/>
  <c r="O1725" i="34"/>
  <c r="O769" i="34"/>
  <c r="Q479" i="34"/>
  <c r="P419" i="34"/>
  <c r="Q769" i="34"/>
  <c r="O685" i="34"/>
  <c r="Q419" i="34"/>
  <c r="P329" i="34"/>
  <c r="P1585" i="34"/>
  <c r="P1403" i="34"/>
  <c r="O1060" i="34"/>
  <c r="Q685" i="34"/>
  <c r="O557" i="34"/>
  <c r="Q329" i="34"/>
  <c r="Q1585" i="34"/>
  <c r="Q1403" i="34"/>
  <c r="Q557" i="34"/>
  <c r="P479" i="34"/>
  <c r="Q30" i="34"/>
  <c r="O30" i="34"/>
  <c r="Q284" i="34"/>
  <c r="P284" i="34"/>
  <c r="Q302" i="34"/>
  <c r="O302" i="34"/>
  <c r="Q296" i="34"/>
  <c r="P296" i="34"/>
  <c r="Q283" i="34"/>
  <c r="P283" i="34"/>
  <c r="Q29" i="34"/>
  <c r="P29" i="34"/>
  <c r="Q231" i="34"/>
  <c r="Q225" i="34"/>
  <c r="O225" i="34"/>
  <c r="Q227" i="34"/>
  <c r="Q217" i="34"/>
  <c r="O217" i="34"/>
  <c r="Q221" i="34"/>
  <c r="O221" i="34"/>
  <c r="O232" i="34"/>
  <c r="O237" i="34"/>
  <c r="Q239" i="34"/>
  <c r="O233" i="34"/>
  <c r="Q235" i="34"/>
  <c r="Q281" i="34"/>
  <c r="P281" i="34"/>
  <c r="Q229" i="34"/>
  <c r="Q282" i="34"/>
  <c r="O282" i="34"/>
  <c r="Q245" i="34"/>
  <c r="P245" i="34"/>
  <c r="Q285" i="34"/>
  <c r="P285" i="34"/>
  <c r="Q293" i="34"/>
  <c r="P293" i="34"/>
  <c r="Q32" i="34"/>
  <c r="P32" i="34"/>
  <c r="Q33" i="34"/>
  <c r="P33" i="34"/>
  <c r="Q290" i="34"/>
  <c r="O290" i="34"/>
  <c r="Q289" i="34"/>
  <c r="P289" i="34"/>
  <c r="Q301" i="34"/>
  <c r="P301" i="34"/>
  <c r="O230" i="34"/>
  <c r="Q218" i="34"/>
  <c r="P222" i="34"/>
  <c r="P244" i="34"/>
  <c r="O234" i="34"/>
  <c r="Q303" i="34"/>
  <c r="O280" i="34"/>
  <c r="O291" i="34"/>
  <c r="O292" i="34"/>
  <c r="O300" i="34"/>
  <c r="P294" i="34"/>
  <c r="O219" i="34"/>
  <c r="O223" i="34"/>
  <c r="P232" i="34"/>
  <c r="P237" i="34"/>
  <c r="P233" i="34"/>
  <c r="O31" i="34"/>
  <c r="P286" i="34"/>
  <c r="O297" i="34"/>
  <c r="O288" i="34"/>
  <c r="O287" i="34"/>
  <c r="O295" i="34"/>
  <c r="P298" i="34"/>
  <c r="O299" i="34"/>
  <c r="P34" i="34"/>
  <c r="P230" i="34"/>
  <c r="O243" i="34"/>
  <c r="P226" i="34"/>
  <c r="O220" i="34"/>
  <c r="O224" i="34"/>
  <c r="P238" i="34"/>
  <c r="P234" i="34"/>
  <c r="P295" i="34"/>
  <c r="P299" i="34"/>
  <c r="O34" i="34"/>
  <c r="Q230" i="34"/>
  <c r="P243" i="34"/>
  <c r="Q226" i="34"/>
  <c r="Q220" i="34"/>
  <c r="Q224" i="34"/>
  <c r="O242" i="34"/>
  <c r="Q238" i="34"/>
  <c r="O240" i="34"/>
  <c r="Q234" i="34"/>
  <c r="Q280" i="34"/>
  <c r="P280" i="34"/>
  <c r="Q291" i="34"/>
  <c r="P291" i="34"/>
  <c r="Q292" i="34"/>
  <c r="P292" i="34"/>
  <c r="Q300" i="34"/>
  <c r="P300" i="34"/>
  <c r="Q294" i="34"/>
  <c r="O294" i="34"/>
  <c r="O231" i="34"/>
  <c r="O227" i="34"/>
  <c r="Q219" i="34"/>
  <c r="P219" i="34"/>
  <c r="Q223" i="34"/>
  <c r="P223" i="34"/>
  <c r="Q232" i="34"/>
  <c r="O241" i="34"/>
  <c r="P241" i="34"/>
  <c r="Q237" i="34"/>
  <c r="O239" i="34"/>
  <c r="Q233" i="34"/>
  <c r="O235" i="34"/>
  <c r="O229" i="34"/>
  <c r="Q31" i="34"/>
  <c r="P31" i="34"/>
  <c r="Q286" i="34"/>
  <c r="O286" i="34"/>
  <c r="Q297" i="34"/>
  <c r="P297" i="34"/>
  <c r="Q288" i="34"/>
  <c r="P288" i="34"/>
  <c r="Q287" i="34"/>
  <c r="P287" i="34"/>
  <c r="Q295" i="34"/>
  <c r="Q298" i="34"/>
  <c r="O298" i="34"/>
  <c r="Q299" i="34"/>
  <c r="Q34" i="34"/>
  <c r="Q243" i="34"/>
  <c r="O228" i="34"/>
  <c r="P220" i="34"/>
  <c r="P224" i="34"/>
  <c r="P242" i="34"/>
  <c r="P240" i="34"/>
  <c r="P30" i="34"/>
  <c r="O284" i="34"/>
  <c r="P302" i="34"/>
  <c r="O296" i="34"/>
  <c r="O283" i="34"/>
  <c r="O29" i="34"/>
  <c r="P231" i="34"/>
  <c r="P225" i="34"/>
  <c r="P227" i="34"/>
  <c r="P217" i="34"/>
  <c r="P221" i="34"/>
  <c r="Q241" i="34"/>
  <c r="P239" i="34"/>
  <c r="P235" i="34"/>
  <c r="O281" i="34"/>
  <c r="P229" i="34"/>
  <c r="P282" i="34"/>
  <c r="O245" i="34"/>
  <c r="O285" i="34"/>
  <c r="O293" i="34"/>
  <c r="O32" i="34"/>
  <c r="O33" i="34"/>
  <c r="P290" i="34"/>
  <c r="O289" i="34"/>
  <c r="O301" i="34"/>
  <c r="P228" i="34"/>
  <c r="O218" i="34"/>
  <c r="O222" i="34"/>
  <c r="O244" i="34"/>
  <c r="Q242" i="34"/>
  <c r="Q240" i="34"/>
  <c r="P236" i="34"/>
  <c r="O303" i="34"/>
  <c r="O226" i="34"/>
  <c r="Q228" i="34"/>
  <c r="P218" i="34"/>
  <c r="Q222" i="34"/>
  <c r="Q244" i="34"/>
  <c r="O238" i="34"/>
  <c r="Q236" i="34"/>
  <c r="P303" i="34"/>
  <c r="O236" i="34"/>
  <c r="Q192" i="34"/>
  <c r="Q207" i="34"/>
  <c r="O207" i="34"/>
  <c r="O192" i="34"/>
  <c r="P207" i="34"/>
  <c r="P192" i="34"/>
  <c r="Q53" i="34"/>
  <c r="P53" i="34"/>
  <c r="O53" i="34"/>
  <c r="Q531" i="34"/>
  <c r="P531" i="34"/>
  <c r="Q1107" i="34"/>
  <c r="P1107" i="34"/>
  <c r="Q1689" i="34"/>
  <c r="Q472" i="34"/>
  <c r="P472" i="34"/>
  <c r="Q1108" i="34"/>
  <c r="P1108" i="34"/>
  <c r="Q1691" i="34"/>
  <c r="Q532" i="34"/>
  <c r="P532" i="34"/>
  <c r="Q1204" i="34"/>
  <c r="P1204" i="34"/>
  <c r="Q1690" i="34"/>
  <c r="Q473" i="34"/>
  <c r="P473" i="34"/>
  <c r="Q1205" i="34"/>
  <c r="O1205" i="34"/>
  <c r="P970" i="34"/>
  <c r="O662" i="34"/>
  <c r="O663" i="34"/>
  <c r="O970" i="34"/>
  <c r="O971" i="34"/>
  <c r="Q662" i="34"/>
  <c r="P662" i="34"/>
  <c r="O1689" i="34"/>
  <c r="Q663" i="34"/>
  <c r="P663" i="34"/>
  <c r="O1691" i="34"/>
  <c r="Q970" i="34"/>
  <c r="O1690" i="34"/>
  <c r="Q971" i="34"/>
  <c r="O531" i="34"/>
  <c r="O1107" i="34"/>
  <c r="P1689" i="34"/>
  <c r="O472" i="34"/>
  <c r="O1108" i="34"/>
  <c r="P1691" i="34"/>
  <c r="O532" i="34"/>
  <c r="O1204" i="34"/>
  <c r="P1690" i="34"/>
  <c r="O473" i="34"/>
  <c r="P1205" i="34"/>
  <c r="P971" i="34"/>
  <c r="Q38" i="34"/>
  <c r="O38" i="34"/>
  <c r="Q1612" i="34"/>
  <c r="P1612" i="34"/>
  <c r="Q1897" i="34"/>
  <c r="P1897" i="34"/>
  <c r="P1947" i="34"/>
  <c r="O1947" i="34"/>
  <c r="P1864" i="34"/>
  <c r="Q1947" i="34"/>
  <c r="O1864" i="34"/>
  <c r="P38" i="34"/>
  <c r="O1612" i="34"/>
  <c r="O1897" i="34"/>
  <c r="Q1864" i="34"/>
  <c r="O1702" i="34"/>
  <c r="Q1702" i="34"/>
  <c r="P1702" i="34"/>
  <c r="Q2515" i="34"/>
  <c r="P2515" i="34"/>
  <c r="Q2635" i="34"/>
  <c r="P2635" i="34"/>
  <c r="Q2627" i="34"/>
  <c r="P2627" i="34"/>
  <c r="Q2619" i="34"/>
  <c r="P2619" i="34"/>
  <c r="Q2610" i="34"/>
  <c r="O2610" i="34"/>
  <c r="Q2602" i="34"/>
  <c r="O2602" i="34"/>
  <c r="Q2594" i="34"/>
  <c r="O2594" i="34"/>
  <c r="Q2585" i="34"/>
  <c r="P2585" i="34"/>
  <c r="Q2577" i="34"/>
  <c r="P2577" i="34"/>
  <c r="Q2568" i="34"/>
  <c r="P2568" i="34"/>
  <c r="Q2560" i="34"/>
  <c r="P2560" i="34"/>
  <c r="Q2553" i="34"/>
  <c r="P2553" i="34"/>
  <c r="Q2545" i="34"/>
  <c r="P2545" i="34"/>
  <c r="Q2537" i="34"/>
  <c r="P2537" i="34"/>
  <c r="Q2529" i="34"/>
  <c r="P2529" i="34"/>
  <c r="Q2521" i="34"/>
  <c r="P2521" i="34"/>
  <c r="Q2512" i="34"/>
  <c r="P2512" i="34"/>
  <c r="Q2504" i="34"/>
  <c r="P2504" i="34"/>
  <c r="Q2496" i="34"/>
  <c r="P2496" i="34"/>
  <c r="Q2488" i="34"/>
  <c r="P2488" i="34"/>
  <c r="Q2480" i="34"/>
  <c r="P2480" i="34"/>
  <c r="Q2472" i="34"/>
  <c r="P2472" i="34"/>
  <c r="P2699" i="34"/>
  <c r="O2699" i="34"/>
  <c r="O2177" i="34"/>
  <c r="O2185" i="34"/>
  <c r="O2193" i="34"/>
  <c r="O2201" i="34"/>
  <c r="O2665" i="34"/>
  <c r="Q2685" i="34"/>
  <c r="Q2114" i="34"/>
  <c r="O2211" i="34"/>
  <c r="Q2109" i="34"/>
  <c r="O2129" i="34"/>
  <c r="O2137" i="34"/>
  <c r="O2145" i="34"/>
  <c r="O2153" i="34"/>
  <c r="O2161" i="34"/>
  <c r="O2169" i="34"/>
  <c r="Q2711" i="34"/>
  <c r="Q2702" i="34"/>
  <c r="Q2689" i="34"/>
  <c r="O2673" i="34"/>
  <c r="P2466" i="34"/>
  <c r="P2634" i="34"/>
  <c r="P2626" i="34"/>
  <c r="P2618" i="34"/>
  <c r="O2609" i="34"/>
  <c r="O2601" i="34"/>
  <c r="O2593" i="34"/>
  <c r="O2584" i="34"/>
  <c r="O2576" i="34"/>
  <c r="O2567" i="34"/>
  <c r="O2559" i="34"/>
  <c r="O2552" i="34"/>
  <c r="O2544" i="34"/>
  <c r="O2536" i="34"/>
  <c r="O2528" i="34"/>
  <c r="O2520" i="34"/>
  <c r="O2511" i="34"/>
  <c r="O2503" i="34"/>
  <c r="O2495" i="34"/>
  <c r="O2487" i="34"/>
  <c r="O2479" i="34"/>
  <c r="O2471" i="34"/>
  <c r="O2639" i="34"/>
  <c r="O2631" i="34"/>
  <c r="O2623" i="34"/>
  <c r="P2614" i="34"/>
  <c r="P2606" i="34"/>
  <c r="P2598" i="34"/>
  <c r="P2590" i="34"/>
  <c r="O2581" i="34"/>
  <c r="O2573" i="34"/>
  <c r="O2564" i="34"/>
  <c r="O2465" i="34"/>
  <c r="O2549" i="34"/>
  <c r="O2541" i="34"/>
  <c r="O2533" i="34"/>
  <c r="O2525" i="34"/>
  <c r="O2517" i="34"/>
  <c r="O2508" i="34"/>
  <c r="O2500" i="34"/>
  <c r="O2492" i="34"/>
  <c r="O2484" i="34"/>
  <c r="O2476" i="34"/>
  <c r="O2468" i="34"/>
  <c r="Q2699" i="34"/>
  <c r="Q2177" i="34"/>
  <c r="P2177" i="34"/>
  <c r="Q2185" i="34"/>
  <c r="P2185" i="34"/>
  <c r="Q2193" i="34"/>
  <c r="P2193" i="34"/>
  <c r="Q2201" i="34"/>
  <c r="P2201" i="34"/>
  <c r="Q2665" i="34"/>
  <c r="P2665" i="34"/>
  <c r="P2108" i="34"/>
  <c r="O2108" i="34"/>
  <c r="Q2211" i="34"/>
  <c r="P2211" i="34"/>
  <c r="P2121" i="34"/>
  <c r="O2121" i="34"/>
  <c r="Q2129" i="34"/>
  <c r="P2129" i="34"/>
  <c r="Q2137" i="34"/>
  <c r="P2137" i="34"/>
  <c r="Q2145" i="34"/>
  <c r="P2145" i="34"/>
  <c r="Q2153" i="34"/>
  <c r="P2153" i="34"/>
  <c r="Q2161" i="34"/>
  <c r="P2161" i="34"/>
  <c r="Q2169" i="34"/>
  <c r="P2169" i="34"/>
  <c r="P2723" i="34"/>
  <c r="O2723" i="34"/>
  <c r="P2707" i="34"/>
  <c r="O2707" i="34"/>
  <c r="P2696" i="34"/>
  <c r="O2696" i="34"/>
  <c r="P2682" i="34"/>
  <c r="O2682" i="34"/>
  <c r="Q2673" i="34"/>
  <c r="P2673" i="34"/>
  <c r="Q2466" i="34"/>
  <c r="O2466" i="34"/>
  <c r="Q2634" i="34"/>
  <c r="O2634" i="34"/>
  <c r="Q2626" i="34"/>
  <c r="O2626" i="34"/>
  <c r="Q2618" i="34"/>
  <c r="O2618" i="34"/>
  <c r="Q2609" i="34"/>
  <c r="P2609" i="34"/>
  <c r="Q2601" i="34"/>
  <c r="P2601" i="34"/>
  <c r="Q2593" i="34"/>
  <c r="P2593" i="34"/>
  <c r="Q2584" i="34"/>
  <c r="P2584" i="34"/>
  <c r="Q2576" i="34"/>
  <c r="P2576" i="34"/>
  <c r="Q2567" i="34"/>
  <c r="P2567" i="34"/>
  <c r="Q2559" i="34"/>
  <c r="P2559" i="34"/>
  <c r="Q2552" i="34"/>
  <c r="P2552" i="34"/>
  <c r="Q2639" i="34"/>
  <c r="P2639" i="34"/>
  <c r="Q2631" i="34"/>
  <c r="P2631" i="34"/>
  <c r="Q2623" i="34"/>
  <c r="P2623" i="34"/>
  <c r="Q2614" i="34"/>
  <c r="O2614" i="34"/>
  <c r="Q2606" i="34"/>
  <c r="O2606" i="34"/>
  <c r="Q2598" i="34"/>
  <c r="O2598" i="34"/>
  <c r="Q2590" i="34"/>
  <c r="O2590" i="34"/>
  <c r="Q2581" i="34"/>
  <c r="P2581" i="34"/>
  <c r="Q2573" i="34"/>
  <c r="P2573" i="34"/>
  <c r="Q2564" i="34"/>
  <c r="P2564" i="34"/>
  <c r="Q2465" i="34"/>
  <c r="P2465" i="34"/>
  <c r="Q2549" i="34"/>
  <c r="P2549" i="34"/>
  <c r="Q2541" i="34"/>
  <c r="P2541" i="34"/>
  <c r="Q2533" i="34"/>
  <c r="P2533" i="34"/>
  <c r="Q2525" i="34"/>
  <c r="P2525" i="34"/>
  <c r="Q2517" i="34"/>
  <c r="P2517" i="34"/>
  <c r="Q2508" i="34"/>
  <c r="P2508" i="34"/>
  <c r="Q2500" i="34"/>
  <c r="P2500" i="34"/>
  <c r="Q2492" i="34"/>
  <c r="P2492" i="34"/>
  <c r="Q2484" i="34"/>
  <c r="P2484" i="34"/>
  <c r="Q2476" i="34"/>
  <c r="P2476" i="34"/>
  <c r="Q2468" i="34"/>
  <c r="P2468" i="34"/>
  <c r="P2690" i="34"/>
  <c r="O2690" i="34"/>
  <c r="P2719" i="34"/>
  <c r="O2719" i="34"/>
  <c r="O2173" i="34"/>
  <c r="O2181" i="34"/>
  <c r="O2189" i="34"/>
  <c r="O2197" i="34"/>
  <c r="O2205" i="34"/>
  <c r="Q2108" i="34"/>
  <c r="Q2121" i="34"/>
  <c r="O2125" i="34"/>
  <c r="O2133" i="34"/>
  <c r="O2141" i="34"/>
  <c r="O2149" i="34"/>
  <c r="O2157" i="34"/>
  <c r="O2165" i="34"/>
  <c r="Q2723" i="34"/>
  <c r="P2717" i="34"/>
  <c r="O2717" i="34"/>
  <c r="Q2707" i="34"/>
  <c r="Q2696" i="34"/>
  <c r="Q2682" i="34"/>
  <c r="O2677" i="34"/>
  <c r="O2668" i="34"/>
  <c r="P2638" i="34"/>
  <c r="P2630" i="34"/>
  <c r="P2622" i="34"/>
  <c r="O2515" i="34"/>
  <c r="O2635" i="34"/>
  <c r="O2627" i="34"/>
  <c r="O2619" i="34"/>
  <c r="P2610" i="34"/>
  <c r="P2602" i="34"/>
  <c r="P2594" i="34"/>
  <c r="O2585" i="34"/>
  <c r="O2577" i="34"/>
  <c r="O2568" i="34"/>
  <c r="O2560" i="34"/>
  <c r="O2553" i="34"/>
  <c r="O2545" i="34"/>
  <c r="O2537" i="34"/>
  <c r="O2529" i="34"/>
  <c r="O2521" i="34"/>
  <c r="O2512" i="34"/>
  <c r="O2504" i="34"/>
  <c r="O2496" i="34"/>
  <c r="O2488" i="34"/>
  <c r="O2480" i="34"/>
  <c r="O2472" i="34"/>
  <c r="Q2690" i="34"/>
  <c r="Q2719" i="34"/>
  <c r="Q2173" i="34"/>
  <c r="P2173" i="34"/>
  <c r="Q2181" i="34"/>
  <c r="P2181" i="34"/>
  <c r="Q2189" i="34"/>
  <c r="P2189" i="34"/>
  <c r="Q2197" i="34"/>
  <c r="P2197" i="34"/>
  <c r="Q2205" i="34"/>
  <c r="P2205" i="34"/>
  <c r="P2685" i="34"/>
  <c r="O2685" i="34"/>
  <c r="P2114" i="34"/>
  <c r="O2114" i="34"/>
  <c r="P2109" i="34"/>
  <c r="O2109" i="34"/>
  <c r="Q2125" i="34"/>
  <c r="P2125" i="34"/>
  <c r="Q2133" i="34"/>
  <c r="P2133" i="34"/>
  <c r="Q2141" i="34"/>
  <c r="P2141" i="34"/>
  <c r="Q2149" i="34"/>
  <c r="P2149" i="34"/>
  <c r="Q2157" i="34"/>
  <c r="P2157" i="34"/>
  <c r="Q2165" i="34"/>
  <c r="P2165" i="34"/>
  <c r="Q2717" i="34"/>
  <c r="P2711" i="34"/>
  <c r="O2711" i="34"/>
  <c r="P2702" i="34"/>
  <c r="O2702" i="34"/>
  <c r="P2689" i="34"/>
  <c r="O2689" i="34"/>
  <c r="Q2677" i="34"/>
  <c r="P2677" i="34"/>
  <c r="Q2668" i="34"/>
  <c r="P2668" i="34"/>
  <c r="Q2638" i="34"/>
  <c r="O2638" i="34"/>
  <c r="Q2630" i="34"/>
  <c r="O2630" i="34"/>
  <c r="Q2622" i="34"/>
  <c r="O2622" i="34"/>
  <c r="Q2613" i="34"/>
  <c r="P2613" i="34"/>
  <c r="Q2605" i="34"/>
  <c r="P2605" i="34"/>
  <c r="Q2597" i="34"/>
  <c r="P2597" i="34"/>
  <c r="Q2589" i="34"/>
  <c r="P2589" i="34"/>
  <c r="Q2580" i="34"/>
  <c r="P2580" i="34"/>
  <c r="Q2572" i="34"/>
  <c r="P2572" i="34"/>
  <c r="Q2563" i="34"/>
  <c r="P2563" i="34"/>
  <c r="Q2556" i="34"/>
  <c r="P2556" i="34"/>
  <c r="Q2548" i="34"/>
  <c r="P2548" i="34"/>
  <c r="Q2540" i="34"/>
  <c r="O2597" i="34"/>
  <c r="O2563" i="34"/>
  <c r="Q2544" i="34"/>
  <c r="P2540" i="34"/>
  <c r="P2528" i="34"/>
  <c r="Q2520" i="34"/>
  <c r="O2516" i="34"/>
  <c r="Q2507" i="34"/>
  <c r="P2507" i="34"/>
  <c r="P2495" i="34"/>
  <c r="Q2487" i="34"/>
  <c r="O2483" i="34"/>
  <c r="Q2475" i="34"/>
  <c r="P2475" i="34"/>
  <c r="Q2691" i="34"/>
  <c r="Q2722" i="34"/>
  <c r="Q2174" i="34"/>
  <c r="O2174" i="34"/>
  <c r="Q2182" i="34"/>
  <c r="O2182" i="34"/>
  <c r="Q2190" i="34"/>
  <c r="O2190" i="34"/>
  <c r="Q2198" i="34"/>
  <c r="O2198" i="34"/>
  <c r="Q2206" i="34"/>
  <c r="O2206" i="34"/>
  <c r="P2686" i="34"/>
  <c r="O2686" i="34"/>
  <c r="P2115" i="34"/>
  <c r="O2115" i="34"/>
  <c r="P2110" i="34"/>
  <c r="O2110" i="34"/>
  <c r="Q2126" i="34"/>
  <c r="O2126" i="34"/>
  <c r="Q2134" i="34"/>
  <c r="O2134" i="34"/>
  <c r="Q2142" i="34"/>
  <c r="O2142" i="34"/>
  <c r="Q2150" i="34"/>
  <c r="O2150" i="34"/>
  <c r="Q2158" i="34"/>
  <c r="O2158" i="34"/>
  <c r="Q2166" i="34"/>
  <c r="O2166" i="34"/>
  <c r="Q2716" i="34"/>
  <c r="P2710" i="34"/>
  <c r="O2710" i="34"/>
  <c r="P2701" i="34"/>
  <c r="O2701" i="34"/>
  <c r="P2688" i="34"/>
  <c r="O2688" i="34"/>
  <c r="Q2676" i="34"/>
  <c r="P2676" i="34"/>
  <c r="Q2666" i="34"/>
  <c r="O2666" i="34"/>
  <c r="Q2641" i="34"/>
  <c r="P2641" i="34"/>
  <c r="Q2633" i="34"/>
  <c r="P2633" i="34"/>
  <c r="Q2625" i="34"/>
  <c r="P2625" i="34"/>
  <c r="Q2617" i="34"/>
  <c r="P2617" i="34"/>
  <c r="Q2608" i="34"/>
  <c r="P2608" i="34"/>
  <c r="Q2600" i="34"/>
  <c r="P2600" i="34"/>
  <c r="Q2592" i="34"/>
  <c r="P2592" i="34"/>
  <c r="Q2583" i="34"/>
  <c r="P2583" i="34"/>
  <c r="Q2575" i="34"/>
  <c r="P2575" i="34"/>
  <c r="Q2566" i="34"/>
  <c r="O2566" i="34"/>
  <c r="Q2558" i="34"/>
  <c r="O2558" i="34"/>
  <c r="Q2551" i="34"/>
  <c r="P2551" i="34"/>
  <c r="Q2543" i="34"/>
  <c r="P2543" i="34"/>
  <c r="Q2535" i="34"/>
  <c r="P2535" i="34"/>
  <c r="Q2527" i="34"/>
  <c r="P2527" i="34"/>
  <c r="Q2519" i="34"/>
  <c r="P2519" i="34"/>
  <c r="Q2510" i="34"/>
  <c r="O2510" i="34"/>
  <c r="Q2502" i="34"/>
  <c r="O2502" i="34"/>
  <c r="Q2494" i="34"/>
  <c r="O2494" i="34"/>
  <c r="Q2486" i="34"/>
  <c r="O2486" i="34"/>
  <c r="Q2478" i="34"/>
  <c r="O2478" i="34"/>
  <c r="Q2470" i="34"/>
  <c r="O2470" i="34"/>
  <c r="P2713" i="34"/>
  <c r="O2713" i="34"/>
  <c r="Q2171" i="34"/>
  <c r="P2171" i="34"/>
  <c r="Q2179" i="34"/>
  <c r="P2179" i="34"/>
  <c r="Q2187" i="34"/>
  <c r="P2187" i="34"/>
  <c r="Q2195" i="34"/>
  <c r="P2195" i="34"/>
  <c r="Q2203" i="34"/>
  <c r="P2203" i="34"/>
  <c r="Q2670" i="34"/>
  <c r="O2670" i="34"/>
  <c r="O2605" i="34"/>
  <c r="O2572" i="34"/>
  <c r="P2536" i="34"/>
  <c r="Q2528" i="34"/>
  <c r="O2524" i="34"/>
  <c r="Q2516" i="34"/>
  <c r="P2516" i="34"/>
  <c r="P2503" i="34"/>
  <c r="Q2495" i="34"/>
  <c r="O2491" i="34"/>
  <c r="Q2483" i="34"/>
  <c r="P2483" i="34"/>
  <c r="P2471" i="34"/>
  <c r="P2706" i="34"/>
  <c r="O2706" i="34"/>
  <c r="P2178" i="34"/>
  <c r="P2186" i="34"/>
  <c r="P2194" i="34"/>
  <c r="P2202" i="34"/>
  <c r="O2667" i="34"/>
  <c r="Q2686" i="34"/>
  <c r="Q2115" i="34"/>
  <c r="O2212" i="34"/>
  <c r="Q2110" i="34"/>
  <c r="P2130" i="34"/>
  <c r="P2138" i="34"/>
  <c r="P2146" i="34"/>
  <c r="P2154" i="34"/>
  <c r="P2162" i="34"/>
  <c r="P2170" i="34"/>
  <c r="Q2710" i="34"/>
  <c r="Q2701" i="34"/>
  <c r="Q2688" i="34"/>
  <c r="O2672" i="34"/>
  <c r="O2616" i="34"/>
  <c r="O2637" i="34"/>
  <c r="O2629" i="34"/>
  <c r="O2621" i="34"/>
  <c r="O2612" i="34"/>
  <c r="O2604" i="34"/>
  <c r="O2596" i="34"/>
  <c r="O2587" i="34"/>
  <c r="O2579" i="34"/>
  <c r="O2571" i="34"/>
  <c r="P2562" i="34"/>
  <c r="O2555" i="34"/>
  <c r="O2547" i="34"/>
  <c r="O2539" i="34"/>
  <c r="O2531" i="34"/>
  <c r="O2523" i="34"/>
  <c r="P2514" i="34"/>
  <c r="P2506" i="34"/>
  <c r="P2498" i="34"/>
  <c r="P2490" i="34"/>
  <c r="P2482" i="34"/>
  <c r="P2474" i="34"/>
  <c r="Q2713" i="34"/>
  <c r="P2725" i="34"/>
  <c r="O2725" i="34"/>
  <c r="O2175" i="34"/>
  <c r="O2183" i="34"/>
  <c r="O2191" i="34"/>
  <c r="O2199" i="34"/>
  <c r="O2664" i="34"/>
  <c r="Q2112" i="34"/>
  <c r="Q2117" i="34"/>
  <c r="Q2123" i="34"/>
  <c r="O2127" i="34"/>
  <c r="O2135" i="34"/>
  <c r="O2143" i="34"/>
  <c r="O2151" i="34"/>
  <c r="O2159" i="34"/>
  <c r="O2167" i="34"/>
  <c r="Q2715" i="34"/>
  <c r="P2709" i="34"/>
  <c r="O2709" i="34"/>
  <c r="P2700" i="34"/>
  <c r="O2700" i="34"/>
  <c r="P2684" i="34"/>
  <c r="O2684" i="34"/>
  <c r="O2680" i="34"/>
  <c r="Q2675" i="34"/>
  <c r="P2675" i="34"/>
  <c r="Q2588" i="34"/>
  <c r="P2588" i="34"/>
  <c r="Q2636" i="34"/>
  <c r="O2613" i="34"/>
  <c r="O2580" i="34"/>
  <c r="O2548" i="34"/>
  <c r="Q2536" i="34"/>
  <c r="O2532" i="34"/>
  <c r="Q2524" i="34"/>
  <c r="P2524" i="34"/>
  <c r="P2511" i="34"/>
  <c r="Q2503" i="34"/>
  <c r="O2499" i="34"/>
  <c r="Q2491" i="34"/>
  <c r="P2491" i="34"/>
  <c r="P2479" i="34"/>
  <c r="Q2471" i="34"/>
  <c r="O2467" i="34"/>
  <c r="Q2706" i="34"/>
  <c r="Q2178" i="34"/>
  <c r="O2178" i="34"/>
  <c r="Q2186" i="34"/>
  <c r="O2186" i="34"/>
  <c r="Q2194" i="34"/>
  <c r="O2194" i="34"/>
  <c r="Q2202" i="34"/>
  <c r="O2202" i="34"/>
  <c r="Q2667" i="34"/>
  <c r="P2667" i="34"/>
  <c r="P2111" i="34"/>
  <c r="O2111" i="34"/>
  <c r="Q2212" i="34"/>
  <c r="P2212" i="34"/>
  <c r="P2122" i="34"/>
  <c r="O2122" i="34"/>
  <c r="Q2130" i="34"/>
  <c r="O2130" i="34"/>
  <c r="Q2138" i="34"/>
  <c r="O2138" i="34"/>
  <c r="Q2146" i="34"/>
  <c r="O2146" i="34"/>
  <c r="Q2154" i="34"/>
  <c r="O2154" i="34"/>
  <c r="Q2162" i="34"/>
  <c r="O2162" i="34"/>
  <c r="Q2170" i="34"/>
  <c r="O2170" i="34"/>
  <c r="P2721" i="34"/>
  <c r="O2721" i="34"/>
  <c r="P2705" i="34"/>
  <c r="O2705" i="34"/>
  <c r="P2695" i="34"/>
  <c r="O2695" i="34"/>
  <c r="P2681" i="34"/>
  <c r="O2681" i="34"/>
  <c r="Q2672" i="34"/>
  <c r="P2672" i="34"/>
  <c r="Q2616" i="34"/>
  <c r="P2616" i="34"/>
  <c r="Q2637" i="34"/>
  <c r="P2637" i="34"/>
  <c r="Q2629" i="34"/>
  <c r="P2629" i="34"/>
  <c r="Q2621" i="34"/>
  <c r="P2621" i="34"/>
  <c r="Q2612" i="34"/>
  <c r="P2612" i="34"/>
  <c r="Q2604" i="34"/>
  <c r="P2604" i="34"/>
  <c r="Q2596" i="34"/>
  <c r="P2596" i="34"/>
  <c r="Q2587" i="34"/>
  <c r="P2587" i="34"/>
  <c r="Q2579" i="34"/>
  <c r="P2579" i="34"/>
  <c r="Q2571" i="34"/>
  <c r="P2571" i="34"/>
  <c r="Q2562" i="34"/>
  <c r="O2562" i="34"/>
  <c r="Q2555" i="34"/>
  <c r="P2555" i="34"/>
  <c r="Q2547" i="34"/>
  <c r="P2547" i="34"/>
  <c r="Q2539" i="34"/>
  <c r="P2539" i="34"/>
  <c r="Q2531" i="34"/>
  <c r="P2531" i="34"/>
  <c r="Q2523" i="34"/>
  <c r="O2589" i="34"/>
  <c r="O2556" i="34"/>
  <c r="P2544" i="34"/>
  <c r="O2540" i="34"/>
  <c r="Q2532" i="34"/>
  <c r="P2532" i="34"/>
  <c r="P2520" i="34"/>
  <c r="Q2511" i="34"/>
  <c r="O2507" i="34"/>
  <c r="Q2499" i="34"/>
  <c r="P2499" i="34"/>
  <c r="P2487" i="34"/>
  <c r="Q2479" i="34"/>
  <c r="O2475" i="34"/>
  <c r="Q2467" i="34"/>
  <c r="P2467" i="34"/>
  <c r="P2691" i="34"/>
  <c r="O2691" i="34"/>
  <c r="P2722" i="34"/>
  <c r="O2722" i="34"/>
  <c r="P2174" i="34"/>
  <c r="P2182" i="34"/>
  <c r="P2190" i="34"/>
  <c r="P2198" i="34"/>
  <c r="P2206" i="34"/>
  <c r="Q2111" i="34"/>
  <c r="Q2122" i="34"/>
  <c r="P2126" i="34"/>
  <c r="P2134" i="34"/>
  <c r="P2142" i="34"/>
  <c r="P2150" i="34"/>
  <c r="P2158" i="34"/>
  <c r="P2166" i="34"/>
  <c r="Q2721" i="34"/>
  <c r="P2716" i="34"/>
  <c r="O2716" i="34"/>
  <c r="Q2705" i="34"/>
  <c r="Q2695" i="34"/>
  <c r="Q2681" i="34"/>
  <c r="O2676" i="34"/>
  <c r="P2666" i="34"/>
  <c r="O2641" i="34"/>
  <c r="O2633" i="34"/>
  <c r="O2625" i="34"/>
  <c r="O2617" i="34"/>
  <c r="O2608" i="34"/>
  <c r="O2600" i="34"/>
  <c r="O2592" i="34"/>
  <c r="O2583" i="34"/>
  <c r="O2575" i="34"/>
  <c r="P2566" i="34"/>
  <c r="P2558" i="34"/>
  <c r="O2551" i="34"/>
  <c r="O2543" i="34"/>
  <c r="O2535" i="34"/>
  <c r="O2527" i="34"/>
  <c r="O2519" i="34"/>
  <c r="P2510" i="34"/>
  <c r="P2502" i="34"/>
  <c r="P2494" i="34"/>
  <c r="P2486" i="34"/>
  <c r="P2478" i="34"/>
  <c r="P2470" i="34"/>
  <c r="Q2693" i="34"/>
  <c r="O2171" i="34"/>
  <c r="O2179" i="34"/>
  <c r="O2187" i="34"/>
  <c r="O2195" i="34"/>
  <c r="O2203" i="34"/>
  <c r="P2670" i="34"/>
  <c r="Q2687" i="34"/>
  <c r="Q2116" i="34"/>
  <c r="Q2119" i="34"/>
  <c r="O2131" i="34"/>
  <c r="O2139" i="34"/>
  <c r="O2147" i="34"/>
  <c r="O2155" i="34"/>
  <c r="O2163" i="34"/>
  <c r="Q2726" i="34"/>
  <c r="P2720" i="34"/>
  <c r="O2720" i="34"/>
  <c r="P2704" i="34"/>
  <c r="O2704" i="34"/>
  <c r="P2694" i="34"/>
  <c r="O2694" i="34"/>
  <c r="Q2680" i="34"/>
  <c r="P2680" i="34"/>
  <c r="Q2671" i="34"/>
  <c r="P2671" i="34"/>
  <c r="Q2640" i="34"/>
  <c r="P2640" i="34"/>
  <c r="Q2632" i="34"/>
  <c r="P2632" i="34"/>
  <c r="Q2624" i="34"/>
  <c r="P2624" i="34"/>
  <c r="Q2615" i="34"/>
  <c r="P2615" i="34"/>
  <c r="Q2607" i="34"/>
  <c r="P2607" i="34"/>
  <c r="Q2599" i="34"/>
  <c r="P2599" i="34"/>
  <c r="Q2591" i="34"/>
  <c r="P2591" i="34"/>
  <c r="Q2582" i="34"/>
  <c r="O2582" i="34"/>
  <c r="Q2574" i="34"/>
  <c r="O2574" i="34"/>
  <c r="Q2565" i="34"/>
  <c r="P2565" i="34"/>
  <c r="Q2557" i="34"/>
  <c r="P2116" i="34"/>
  <c r="O2117" i="34"/>
  <c r="Q2127" i="34"/>
  <c r="P2131" i="34"/>
  <c r="Q2143" i="34"/>
  <c r="P2147" i="34"/>
  <c r="Q2159" i="34"/>
  <c r="P2163" i="34"/>
  <c r="O2726" i="34"/>
  <c r="P2715" i="34"/>
  <c r="Q2709" i="34"/>
  <c r="Q2704" i="34"/>
  <c r="Q2700" i="34"/>
  <c r="Q2694" i="34"/>
  <c r="Q2684" i="34"/>
  <c r="Q2628" i="34"/>
  <c r="P2628" i="34"/>
  <c r="O2624" i="34"/>
  <c r="Q2611" i="34"/>
  <c r="P2611" i="34"/>
  <c r="O2607" i="34"/>
  <c r="Q2595" i="34"/>
  <c r="P2595" i="34"/>
  <c r="O2591" i="34"/>
  <c r="Q2578" i="34"/>
  <c r="O2578" i="34"/>
  <c r="P2574" i="34"/>
  <c r="Q2561" i="34"/>
  <c r="P2561" i="34"/>
  <c r="O2557" i="34"/>
  <c r="P2550" i="34"/>
  <c r="P2542" i="34"/>
  <c r="P2534" i="34"/>
  <c r="P2526" i="34"/>
  <c r="P2518" i="34"/>
  <c r="O2509" i="34"/>
  <c r="O2501" i="34"/>
  <c r="O2493" i="34"/>
  <c r="O2485" i="34"/>
  <c r="O2477" i="34"/>
  <c r="O2469" i="34"/>
  <c r="Q2698" i="34"/>
  <c r="Q2176" i="34"/>
  <c r="P2176" i="34"/>
  <c r="Q2184" i="34"/>
  <c r="P2184" i="34"/>
  <c r="Q2192" i="34"/>
  <c r="Q2200" i="34"/>
  <c r="P2663" i="34"/>
  <c r="O2107" i="34"/>
  <c r="P2120" i="34"/>
  <c r="P2128" i="34"/>
  <c r="P2136" i="34"/>
  <c r="Q2152" i="34"/>
  <c r="P2160" i="34"/>
  <c r="Q2168" i="34"/>
  <c r="O2724" i="34"/>
  <c r="O2708" i="34"/>
  <c r="O2697" i="34"/>
  <c r="O2683" i="34"/>
  <c r="P2204" i="34"/>
  <c r="O2113" i="34"/>
  <c r="O2118" i="34"/>
  <c r="Q2132" i="34"/>
  <c r="P2140" i="34"/>
  <c r="Q2156" i="34"/>
  <c r="P2164" i="34"/>
  <c r="Q2718" i="34"/>
  <c r="O2703" i="34"/>
  <c r="P2679" i="34"/>
  <c r="P2175" i="34"/>
  <c r="P2183" i="34"/>
  <c r="P2191" i="34"/>
  <c r="P2199" i="34"/>
  <c r="P2664" i="34"/>
  <c r="O2687" i="34"/>
  <c r="P2117" i="34"/>
  <c r="O2119" i="34"/>
  <c r="Q2131" i="34"/>
  <c r="P2135" i="34"/>
  <c r="Q2147" i="34"/>
  <c r="P2151" i="34"/>
  <c r="Q2163" i="34"/>
  <c r="P2167" i="34"/>
  <c r="P2726" i="34"/>
  <c r="Q2720" i="34"/>
  <c r="O2675" i="34"/>
  <c r="O2671" i="34"/>
  <c r="O2588" i="34"/>
  <c r="O2640" i="34"/>
  <c r="O2636" i="34"/>
  <c r="O2620" i="34"/>
  <c r="O2603" i="34"/>
  <c r="P2586" i="34"/>
  <c r="P2570" i="34"/>
  <c r="P2557" i="34"/>
  <c r="Q2550" i="34"/>
  <c r="O2550" i="34"/>
  <c r="Q2542" i="34"/>
  <c r="O2542" i="34"/>
  <c r="Q2534" i="34"/>
  <c r="O2534" i="34"/>
  <c r="Q2526" i="34"/>
  <c r="O2526" i="34"/>
  <c r="Q2518" i="34"/>
  <c r="O2518" i="34"/>
  <c r="Q2509" i="34"/>
  <c r="P2509" i="34"/>
  <c r="Q2501" i="34"/>
  <c r="P2501" i="34"/>
  <c r="Q2493" i="34"/>
  <c r="P2493" i="34"/>
  <c r="Q2485" i="34"/>
  <c r="P2485" i="34"/>
  <c r="Q2477" i="34"/>
  <c r="P2477" i="34"/>
  <c r="Q2469" i="34"/>
  <c r="P2469" i="34"/>
  <c r="P2714" i="34"/>
  <c r="O2714" i="34"/>
  <c r="O2172" i="34"/>
  <c r="O2180" i="34"/>
  <c r="O2188" i="34"/>
  <c r="O2196" i="34"/>
  <c r="O2204" i="34"/>
  <c r="P2678" i="34"/>
  <c r="Q2107" i="34"/>
  <c r="Q2120" i="34"/>
  <c r="O2132" i="34"/>
  <c r="O2140" i="34"/>
  <c r="O2148" i="34"/>
  <c r="O2156" i="34"/>
  <c r="O2164" i="34"/>
  <c r="Q2724" i="34"/>
  <c r="P2718" i="34"/>
  <c r="O2718" i="34"/>
  <c r="Q2708" i="34"/>
  <c r="Q2697" i="34"/>
  <c r="Q2683" i="34"/>
  <c r="O2679" i="34"/>
  <c r="O2669" i="34"/>
  <c r="P2188" i="34"/>
  <c r="P2113" i="34"/>
  <c r="O2124" i="34"/>
  <c r="Q2140" i="34"/>
  <c r="P2148" i="34"/>
  <c r="Q2164" i="34"/>
  <c r="O2712" i="34"/>
  <c r="P2692" i="34"/>
  <c r="Q2669" i="34"/>
  <c r="P2523" i="34"/>
  <c r="O2514" i="34"/>
  <c r="O2506" i="34"/>
  <c r="O2498" i="34"/>
  <c r="O2490" i="34"/>
  <c r="O2482" i="34"/>
  <c r="O2474" i="34"/>
  <c r="O2693" i="34"/>
  <c r="Q2725" i="34"/>
  <c r="Q2175" i="34"/>
  <c r="Q2183" i="34"/>
  <c r="Q2191" i="34"/>
  <c r="Q2199" i="34"/>
  <c r="Q2664" i="34"/>
  <c r="P2687" i="34"/>
  <c r="O2112" i="34"/>
  <c r="P2119" i="34"/>
  <c r="O2123" i="34"/>
  <c r="Q2135" i="34"/>
  <c r="P2139" i="34"/>
  <c r="Q2151" i="34"/>
  <c r="P2155" i="34"/>
  <c r="Q2167" i="34"/>
  <c r="P2636" i="34"/>
  <c r="O2632" i="34"/>
  <c r="Q2620" i="34"/>
  <c r="P2620" i="34"/>
  <c r="O2615" i="34"/>
  <c r="Q2603" i="34"/>
  <c r="P2603" i="34"/>
  <c r="O2599" i="34"/>
  <c r="Q2586" i="34"/>
  <c r="O2586" i="34"/>
  <c r="P2582" i="34"/>
  <c r="Q2570" i="34"/>
  <c r="O2570" i="34"/>
  <c r="O2565" i="34"/>
  <c r="P2554" i="34"/>
  <c r="P2546" i="34"/>
  <c r="P2538" i="34"/>
  <c r="P2530" i="34"/>
  <c r="P2522" i="34"/>
  <c r="O2513" i="34"/>
  <c r="O2505" i="34"/>
  <c r="O2497" i="34"/>
  <c r="O2489" i="34"/>
  <c r="O2481" i="34"/>
  <c r="O2473" i="34"/>
  <c r="Q2714" i="34"/>
  <c r="Q2172" i="34"/>
  <c r="P2172" i="34"/>
  <c r="Q2180" i="34"/>
  <c r="P2180" i="34"/>
  <c r="Q2196" i="34"/>
  <c r="P2196" i="34"/>
  <c r="Q2204" i="34"/>
  <c r="O2678" i="34"/>
  <c r="P2124" i="34"/>
  <c r="Q2679" i="34"/>
  <c r="Q2514" i="34"/>
  <c r="Q2506" i="34"/>
  <c r="Q2498" i="34"/>
  <c r="Q2490" i="34"/>
  <c r="Q2482" i="34"/>
  <c r="Q2474" i="34"/>
  <c r="P2693" i="34"/>
  <c r="P2112" i="34"/>
  <c r="O2116" i="34"/>
  <c r="P2123" i="34"/>
  <c r="P2127" i="34"/>
  <c r="Q2139" i="34"/>
  <c r="P2143" i="34"/>
  <c r="Q2155" i="34"/>
  <c r="P2159" i="34"/>
  <c r="O2715" i="34"/>
  <c r="O2628" i="34"/>
  <c r="O2611" i="34"/>
  <c r="O2595" i="34"/>
  <c r="P2578" i="34"/>
  <c r="O2561" i="34"/>
  <c r="Q2554" i="34"/>
  <c r="O2554" i="34"/>
  <c r="Q2546" i="34"/>
  <c r="O2546" i="34"/>
  <c r="Q2538" i="34"/>
  <c r="O2538" i="34"/>
  <c r="Q2530" i="34"/>
  <c r="O2530" i="34"/>
  <c r="Q2522" i="34"/>
  <c r="O2522" i="34"/>
  <c r="Q2513" i="34"/>
  <c r="P2513" i="34"/>
  <c r="Q2505" i="34"/>
  <c r="P2505" i="34"/>
  <c r="Q2497" i="34"/>
  <c r="P2497" i="34"/>
  <c r="Q2489" i="34"/>
  <c r="P2489" i="34"/>
  <c r="Q2481" i="34"/>
  <c r="P2481" i="34"/>
  <c r="Q2473" i="34"/>
  <c r="P2473" i="34"/>
  <c r="P2698" i="34"/>
  <c r="O2698" i="34"/>
  <c r="O2176" i="34"/>
  <c r="O2184" i="34"/>
  <c r="O2192" i="34"/>
  <c r="O2200" i="34"/>
  <c r="O2663" i="34"/>
  <c r="Q2113" i="34"/>
  <c r="P2210" i="34"/>
  <c r="Q2118" i="34"/>
  <c r="Q2124" i="34"/>
  <c r="O2128" i="34"/>
  <c r="O2136" i="34"/>
  <c r="O2144" i="34"/>
  <c r="O2152" i="34"/>
  <c r="O2160" i="34"/>
  <c r="O2168" i="34"/>
  <c r="Q2712" i="34"/>
  <c r="Q2703" i="34"/>
  <c r="Q2692" i="34"/>
  <c r="P2674" i="34"/>
  <c r="P2192" i="34"/>
  <c r="P2200" i="34"/>
  <c r="Q2663" i="34"/>
  <c r="P2107" i="34"/>
  <c r="Q2210" i="34"/>
  <c r="O2210" i="34"/>
  <c r="O2120" i="34"/>
  <c r="Q2128" i="34"/>
  <c r="Q2136" i="34"/>
  <c r="Q2144" i="34"/>
  <c r="P2144" i="34"/>
  <c r="P2152" i="34"/>
  <c r="Q2160" i="34"/>
  <c r="P2168" i="34"/>
  <c r="P2724" i="34"/>
  <c r="P2708" i="34"/>
  <c r="P2697" i="34"/>
  <c r="P2683" i="34"/>
  <c r="Q2674" i="34"/>
  <c r="O2674" i="34"/>
  <c r="Q2188" i="34"/>
  <c r="Q2678" i="34"/>
  <c r="P2118" i="34"/>
  <c r="P2132" i="34"/>
  <c r="Q2148" i="34"/>
  <c r="P2156" i="34"/>
  <c r="P2712" i="34"/>
  <c r="P2703" i="34"/>
  <c r="O2692" i="34"/>
  <c r="P2669" i="34"/>
  <c r="Q1910" i="34"/>
  <c r="P1910" i="34"/>
  <c r="Q1918" i="34"/>
  <c r="P1918" i="34"/>
  <c r="Q1912" i="34"/>
  <c r="O1912" i="34"/>
  <c r="Q1915" i="34"/>
  <c r="P1915" i="34"/>
  <c r="Q1924" i="34"/>
  <c r="O1924" i="34"/>
  <c r="Q1913" i="34"/>
  <c r="P1913" i="34"/>
  <c r="Q1916" i="34"/>
  <c r="O1916" i="34"/>
  <c r="Q1925" i="34"/>
  <c r="P1925" i="34"/>
  <c r="P2085" i="34"/>
  <c r="O2085" i="34"/>
  <c r="Q1919" i="34"/>
  <c r="P1919" i="34"/>
  <c r="Q1928" i="34"/>
  <c r="O1928" i="34"/>
  <c r="P1920" i="34"/>
  <c r="O1923" i="34"/>
  <c r="O1911" i="34"/>
  <c r="O1929" i="34"/>
  <c r="O1941" i="34"/>
  <c r="O1921" i="34"/>
  <c r="O1927" i="34"/>
  <c r="O2208" i="34"/>
  <c r="Q2085" i="34"/>
  <c r="O1909" i="34"/>
  <c r="O1917" i="34"/>
  <c r="O1926" i="34"/>
  <c r="Q1920" i="34"/>
  <c r="O1920" i="34"/>
  <c r="Q1923" i="34"/>
  <c r="P1923" i="34"/>
  <c r="Q1911" i="34"/>
  <c r="P1911" i="34"/>
  <c r="Q1929" i="34"/>
  <c r="P1929" i="34"/>
  <c r="Q1941" i="34"/>
  <c r="P1941" i="34"/>
  <c r="Q1921" i="34"/>
  <c r="P1921" i="34"/>
  <c r="Q1927" i="34"/>
  <c r="P1927" i="34"/>
  <c r="Q2208" i="34"/>
  <c r="P2208" i="34"/>
  <c r="Q1909" i="34"/>
  <c r="P1909" i="34"/>
  <c r="Q1917" i="34"/>
  <c r="P1917" i="34"/>
  <c r="Q1926" i="34"/>
  <c r="P1926" i="34"/>
  <c r="O1910" i="34"/>
  <c r="O1918" i="34"/>
  <c r="P1912" i="34"/>
  <c r="O1915" i="34"/>
  <c r="P1924" i="34"/>
  <c r="O1913" i="34"/>
  <c r="P1916" i="34"/>
  <c r="O1925" i="34"/>
  <c r="O1919" i="34"/>
  <c r="P1928" i="34"/>
  <c r="Q1986" i="34"/>
  <c r="P1986" i="34"/>
  <c r="Q2006" i="34"/>
  <c r="P2006" i="34"/>
  <c r="Q2026" i="34"/>
  <c r="P2026" i="34"/>
  <c r="Q2042" i="34"/>
  <c r="P2042" i="34"/>
  <c r="Q2064" i="34"/>
  <c r="O2064" i="34"/>
  <c r="Q2362" i="34"/>
  <c r="O2362" i="34"/>
  <c r="Q2378" i="34"/>
  <c r="O2378" i="34"/>
  <c r="Q2390" i="34"/>
  <c r="O2390" i="34"/>
  <c r="Q2402" i="34"/>
  <c r="O2402" i="34"/>
  <c r="Q2410" i="34"/>
  <c r="O2410" i="34"/>
  <c r="Q2418" i="34"/>
  <c r="O2418" i="34"/>
  <c r="O2293" i="34"/>
  <c r="Q2297" i="34"/>
  <c r="O2301" i="34"/>
  <c r="Q2305" i="34"/>
  <c r="O2309" i="34"/>
  <c r="Q2313" i="34"/>
  <c r="O2317" i="34"/>
  <c r="Q2321" i="34"/>
  <c r="O2325" i="34"/>
  <c r="Q2329" i="34"/>
  <c r="O2333" i="34"/>
  <c r="Q2337" i="34"/>
  <c r="O2341" i="34"/>
  <c r="Q2349" i="34"/>
  <c r="P2349" i="34"/>
  <c r="Q2357" i="34"/>
  <c r="P2357" i="34"/>
  <c r="Q1953" i="34"/>
  <c r="P1953" i="34"/>
  <c r="Q2056" i="34"/>
  <c r="O2056" i="34"/>
  <c r="P2072" i="34"/>
  <c r="O2072" i="34"/>
  <c r="P2080" i="34"/>
  <c r="O2080" i="34"/>
  <c r="P2091" i="34"/>
  <c r="O2091" i="34"/>
  <c r="Q1954" i="34"/>
  <c r="P1954" i="34"/>
  <c r="Q1962" i="34"/>
  <c r="P1962" i="34"/>
  <c r="Q1970" i="34"/>
  <c r="P1970" i="34"/>
  <c r="Q1978" i="34"/>
  <c r="P1978" i="34"/>
  <c r="Q1942" i="34"/>
  <c r="P1942" i="34"/>
  <c r="Q1867" i="34"/>
  <c r="P1867" i="34"/>
  <c r="Q1890" i="34"/>
  <c r="P1890" i="34"/>
  <c r="Q1937" i="34"/>
  <c r="P1937" i="34"/>
  <c r="Q1877" i="34"/>
  <c r="P1877" i="34"/>
  <c r="Q1885" i="34"/>
  <c r="P1885" i="34"/>
  <c r="Q1903" i="34"/>
  <c r="P1903" i="34"/>
  <c r="Q1930" i="34"/>
  <c r="P1930" i="34"/>
  <c r="Q2219" i="34"/>
  <c r="P2219" i="34"/>
  <c r="Q2223" i="34"/>
  <c r="P2223" i="34"/>
  <c r="Q2231" i="34"/>
  <c r="P2231" i="34"/>
  <c r="Q2239" i="34"/>
  <c r="P2239" i="34"/>
  <c r="Q2247" i="34"/>
  <c r="P2247" i="34"/>
  <c r="Q2251" i="34"/>
  <c r="O2255" i="34"/>
  <c r="Q2259" i="34"/>
  <c r="O2263" i="34"/>
  <c r="Q2267" i="34"/>
  <c r="O2271" i="34"/>
  <c r="Q2275" i="34"/>
  <c r="O2279" i="34"/>
  <c r="Q2283" i="34"/>
  <c r="O2287" i="34"/>
  <c r="Q1584" i="34"/>
  <c r="P1584" i="34"/>
  <c r="Q1601" i="34"/>
  <c r="P1601" i="34"/>
  <c r="Q1621" i="34"/>
  <c r="P1621" i="34"/>
  <c r="Q1654" i="34"/>
  <c r="O1654" i="34"/>
  <c r="O1663" i="34"/>
  <c r="Q1680" i="34"/>
  <c r="O1685" i="34"/>
  <c r="Q1694" i="34"/>
  <c r="O1706" i="34"/>
  <c r="Q1724" i="34"/>
  <c r="O1741" i="34"/>
  <c r="Q1746" i="34"/>
  <c r="O1750" i="34"/>
  <c r="Q1756" i="34"/>
  <c r="Q1787" i="34"/>
  <c r="P1787" i="34"/>
  <c r="Q1799" i="34"/>
  <c r="P1799" i="34"/>
  <c r="Q1807" i="34"/>
  <c r="P1807" i="34"/>
  <c r="Q1815" i="34"/>
  <c r="P1815" i="34"/>
  <c r="Q1823" i="34"/>
  <c r="P1823" i="34"/>
  <c r="Q1831" i="34"/>
  <c r="P1831" i="34"/>
  <c r="Q1839" i="34"/>
  <c r="P1839" i="34"/>
  <c r="Q1847" i="34"/>
  <c r="P1847" i="34"/>
  <c r="Q1855" i="34"/>
  <c r="P1855" i="34"/>
  <c r="Q2002" i="34"/>
  <c r="P2002" i="34"/>
  <c r="Q2014" i="34"/>
  <c r="P2014" i="34"/>
  <c r="Q2030" i="34"/>
  <c r="P2030" i="34"/>
  <c r="Q2046" i="34"/>
  <c r="P2046" i="34"/>
  <c r="P2102" i="34"/>
  <c r="O2102" i="34"/>
  <c r="Q2374" i="34"/>
  <c r="O2374" i="34"/>
  <c r="Q2398" i="34"/>
  <c r="O2398" i="34"/>
  <c r="Q1987" i="34"/>
  <c r="P1987" i="34"/>
  <c r="Q1999" i="34"/>
  <c r="P1999" i="34"/>
  <c r="Q2007" i="34"/>
  <c r="P2007" i="34"/>
  <c r="Q2015" i="34"/>
  <c r="P2015" i="34"/>
  <c r="Q2023" i="34"/>
  <c r="P2023" i="34"/>
  <c r="Q2031" i="34"/>
  <c r="P2031" i="34"/>
  <c r="Q2039" i="34"/>
  <c r="P2039" i="34"/>
  <c r="Q2047" i="34"/>
  <c r="P2047" i="34"/>
  <c r="Q2061" i="34"/>
  <c r="P2061" i="34"/>
  <c r="P2099" i="34"/>
  <c r="O2099" i="34"/>
  <c r="Q2363" i="34"/>
  <c r="P2363" i="34"/>
  <c r="Q2371" i="34"/>
  <c r="P2371" i="34"/>
  <c r="Q2379" i="34"/>
  <c r="P2379" i="34"/>
  <c r="Q2387" i="34"/>
  <c r="O1998" i="34"/>
  <c r="O2018" i="34"/>
  <c r="O2034" i="34"/>
  <c r="O2050" i="34"/>
  <c r="P2068" i="34"/>
  <c r="P2370" i="34"/>
  <c r="P2386" i="34"/>
  <c r="P2394" i="34"/>
  <c r="P2406" i="34"/>
  <c r="P2414" i="34"/>
  <c r="P2422" i="34"/>
  <c r="P2293" i="34"/>
  <c r="P2301" i="34"/>
  <c r="P2309" i="34"/>
  <c r="P2317" i="34"/>
  <c r="P2325" i="34"/>
  <c r="P2333" i="34"/>
  <c r="P2341" i="34"/>
  <c r="O2353" i="34"/>
  <c r="O1946" i="34"/>
  <c r="O1993" i="34"/>
  <c r="P2060" i="34"/>
  <c r="Q2072" i="34"/>
  <c r="Q2080" i="34"/>
  <c r="Q2091" i="34"/>
  <c r="O1958" i="34"/>
  <c r="O1966" i="34"/>
  <c r="O1974" i="34"/>
  <c r="O1982" i="34"/>
  <c r="O2209" i="34"/>
  <c r="O1871" i="34"/>
  <c r="O1894" i="34"/>
  <c r="P1944" i="34"/>
  <c r="O1881" i="34"/>
  <c r="O1899" i="34"/>
  <c r="O1907" i="34"/>
  <c r="O1934" i="34"/>
  <c r="O1866" i="34"/>
  <c r="O2227" i="34"/>
  <c r="O2235" i="34"/>
  <c r="O2243" i="34"/>
  <c r="P2255" i="34"/>
  <c r="P2263" i="34"/>
  <c r="P2271" i="34"/>
  <c r="P2279" i="34"/>
  <c r="P2287" i="34"/>
  <c r="P1574" i="34"/>
  <c r="O1596" i="34"/>
  <c r="O1617" i="34"/>
  <c r="O1637" i="34"/>
  <c r="O1659" i="34"/>
  <c r="P1663" i="34"/>
  <c r="P1685" i="34"/>
  <c r="P1706" i="34"/>
  <c r="P1741" i="34"/>
  <c r="P1750" i="34"/>
  <c r="P1792" i="34"/>
  <c r="O1803" i="34"/>
  <c r="O1811" i="34"/>
  <c r="O1819" i="34"/>
  <c r="O1827" i="34"/>
  <c r="O1835" i="34"/>
  <c r="O1843" i="34"/>
  <c r="O1851" i="34"/>
  <c r="O1994" i="34"/>
  <c r="O2010" i="34"/>
  <c r="O2022" i="34"/>
  <c r="O2038" i="34"/>
  <c r="O1949" i="34"/>
  <c r="Q2102" i="34"/>
  <c r="P2366" i="34"/>
  <c r="P2382" i="34"/>
  <c r="O1983" i="34"/>
  <c r="O1995" i="34"/>
  <c r="O2003" i="34"/>
  <c r="O2011" i="34"/>
  <c r="O2019" i="34"/>
  <c r="O2027" i="34"/>
  <c r="O2035" i="34"/>
  <c r="O2043" i="34"/>
  <c r="O2051" i="34"/>
  <c r="O2065" i="34"/>
  <c r="Q2099" i="34"/>
  <c r="O2367" i="34"/>
  <c r="O2375" i="34"/>
  <c r="O2383" i="34"/>
  <c r="O2391" i="34"/>
  <c r="O2399" i="34"/>
  <c r="O2407" i="34"/>
  <c r="O2415" i="34"/>
  <c r="P2294" i="34"/>
  <c r="P2302" i="34"/>
  <c r="P2310" i="34"/>
  <c r="P2318" i="34"/>
  <c r="P2326" i="34"/>
  <c r="P2334" i="34"/>
  <c r="P2342" i="34"/>
  <c r="P2354" i="34"/>
  <c r="O1950" i="34"/>
  <c r="O2053" i="34"/>
  <c r="O2069" i="34"/>
  <c r="Q2073" i="34"/>
  <c r="Q2081" i="34"/>
  <c r="Q2092" i="34"/>
  <c r="O1959" i="34"/>
  <c r="O1967" i="34"/>
  <c r="O1975" i="34"/>
  <c r="O1859" i="34"/>
  <c r="Q2084" i="34"/>
  <c r="O1861" i="34"/>
  <c r="P1872" i="34"/>
  <c r="O1895" i="34"/>
  <c r="O1945" i="34"/>
  <c r="O1882" i="34"/>
  <c r="P1900" i="34"/>
  <c r="P1908" i="34"/>
  <c r="O1935" i="34"/>
  <c r="O1873" i="34"/>
  <c r="O2228" i="34"/>
  <c r="O2236" i="34"/>
  <c r="O2244" i="34"/>
  <c r="O2248" i="34"/>
  <c r="P2256" i="34"/>
  <c r="P2264" i="34"/>
  <c r="P2272" i="34"/>
  <c r="P2280" i="34"/>
  <c r="Q1998" i="34"/>
  <c r="P1998" i="34"/>
  <c r="Q2018" i="34"/>
  <c r="P2018" i="34"/>
  <c r="Q2034" i="34"/>
  <c r="P2034" i="34"/>
  <c r="Q2050" i="34"/>
  <c r="P2050" i="34"/>
  <c r="Q2068" i="34"/>
  <c r="O2068" i="34"/>
  <c r="Q2370" i="34"/>
  <c r="O2370" i="34"/>
  <c r="Q2386" i="34"/>
  <c r="O2386" i="34"/>
  <c r="Q2394" i="34"/>
  <c r="O2394" i="34"/>
  <c r="Q2406" i="34"/>
  <c r="O2406" i="34"/>
  <c r="Q2414" i="34"/>
  <c r="O2414" i="34"/>
  <c r="Q2422" i="34"/>
  <c r="O2422" i="34"/>
  <c r="Q2293" i="34"/>
  <c r="O2297" i="34"/>
  <c r="Q2301" i="34"/>
  <c r="O2305" i="34"/>
  <c r="Q2309" i="34"/>
  <c r="O2313" i="34"/>
  <c r="Q2317" i="34"/>
  <c r="O2321" i="34"/>
  <c r="Q2325" i="34"/>
  <c r="O2329" i="34"/>
  <c r="Q2333" i="34"/>
  <c r="O2337" i="34"/>
  <c r="Q2341" i="34"/>
  <c r="O2345" i="34"/>
  <c r="P2345" i="34"/>
  <c r="Q2353" i="34"/>
  <c r="P2353" i="34"/>
  <c r="Q1946" i="34"/>
  <c r="P1946" i="34"/>
  <c r="Q1993" i="34"/>
  <c r="P1993" i="34"/>
  <c r="Q2060" i="34"/>
  <c r="O2060" i="34"/>
  <c r="P2076" i="34"/>
  <c r="O2076" i="34"/>
  <c r="P2087" i="34"/>
  <c r="O2087" i="34"/>
  <c r="P2095" i="34"/>
  <c r="O2095" i="34"/>
  <c r="Q1958" i="34"/>
  <c r="P1958" i="34"/>
  <c r="Q1966" i="34"/>
  <c r="P1966" i="34"/>
  <c r="Q1974" i="34"/>
  <c r="P1974" i="34"/>
  <c r="Q1982" i="34"/>
  <c r="P1982" i="34"/>
  <c r="Q2209" i="34"/>
  <c r="P2209" i="34"/>
  <c r="Q1871" i="34"/>
  <c r="P1871" i="34"/>
  <c r="Q1894" i="34"/>
  <c r="P1894" i="34"/>
  <c r="Q1944" i="34"/>
  <c r="O1944" i="34"/>
  <c r="Q1881" i="34"/>
  <c r="P1881" i="34"/>
  <c r="Q1899" i="34"/>
  <c r="P1899" i="34"/>
  <c r="Q1907" i="34"/>
  <c r="P1907" i="34"/>
  <c r="Q1934" i="34"/>
  <c r="P1934" i="34"/>
  <c r="Q1866" i="34"/>
  <c r="P1866" i="34"/>
  <c r="Q2227" i="34"/>
  <c r="P2227" i="34"/>
  <c r="Q2235" i="34"/>
  <c r="P2235" i="34"/>
  <c r="Q2243" i="34"/>
  <c r="P2243" i="34"/>
  <c r="O2251" i="34"/>
  <c r="Q2255" i="34"/>
  <c r="O2259" i="34"/>
  <c r="Q2263" i="34"/>
  <c r="O2267" i="34"/>
  <c r="Q2271" i="34"/>
  <c r="O2275" i="34"/>
  <c r="Q2279" i="34"/>
  <c r="O2283" i="34"/>
  <c r="Q2287" i="34"/>
  <c r="Q1574" i="34"/>
  <c r="O1574" i="34"/>
  <c r="Q1596" i="34"/>
  <c r="P1596" i="34"/>
  <c r="Q1617" i="34"/>
  <c r="P1617" i="34"/>
  <c r="Q1637" i="34"/>
  <c r="P1637" i="34"/>
  <c r="Q1659" i="34"/>
  <c r="P1659" i="34"/>
  <c r="Q1663" i="34"/>
  <c r="O1680" i="34"/>
  <c r="Q1685" i="34"/>
  <c r="O1694" i="34"/>
  <c r="Q1706" i="34"/>
  <c r="O1724" i="34"/>
  <c r="Q1741" i="34"/>
  <c r="O1746" i="34"/>
  <c r="Q1750" i="34"/>
  <c r="O1756" i="34"/>
  <c r="Q1792" i="34"/>
  <c r="O1792" i="34"/>
  <c r="Q1803" i="34"/>
  <c r="P1803" i="34"/>
  <c r="Q1811" i="34"/>
  <c r="P1811" i="34"/>
  <c r="Q1819" i="34"/>
  <c r="P1819" i="34"/>
  <c r="Q1827" i="34"/>
  <c r="P1827" i="34"/>
  <c r="Q1835" i="34"/>
  <c r="P1835" i="34"/>
  <c r="Q1843" i="34"/>
  <c r="P1843" i="34"/>
  <c r="Q1851" i="34"/>
  <c r="P1851" i="34"/>
  <c r="Q1994" i="34"/>
  <c r="P1994" i="34"/>
  <c r="Q2010" i="34"/>
  <c r="P2010" i="34"/>
  <c r="Q2022" i="34"/>
  <c r="P2022" i="34"/>
  <c r="Q2038" i="34"/>
  <c r="P2038" i="34"/>
  <c r="Q1949" i="34"/>
  <c r="P1949" i="34"/>
  <c r="Q2366" i="34"/>
  <c r="O2366" i="34"/>
  <c r="Q2382" i="34"/>
  <c r="O2382" i="34"/>
  <c r="Q1983" i="34"/>
  <c r="P1983" i="34"/>
  <c r="Q1995" i="34"/>
  <c r="P1995" i="34"/>
  <c r="Q2003" i="34"/>
  <c r="P2003" i="34"/>
  <c r="Q2011" i="34"/>
  <c r="P2011" i="34"/>
  <c r="Q2019" i="34"/>
  <c r="P2019" i="34"/>
  <c r="O1986" i="34"/>
  <c r="O2006" i="34"/>
  <c r="O2026" i="34"/>
  <c r="O2042" i="34"/>
  <c r="P2064" i="34"/>
  <c r="P2362" i="34"/>
  <c r="P2378" i="34"/>
  <c r="P2390" i="34"/>
  <c r="P2402" i="34"/>
  <c r="P2410" i="34"/>
  <c r="P2418" i="34"/>
  <c r="P2297" i="34"/>
  <c r="P2305" i="34"/>
  <c r="P2313" i="34"/>
  <c r="P2321" i="34"/>
  <c r="P2329" i="34"/>
  <c r="P2337" i="34"/>
  <c r="Q2345" i="34"/>
  <c r="O2349" i="34"/>
  <c r="O2357" i="34"/>
  <c r="O1953" i="34"/>
  <c r="P2056" i="34"/>
  <c r="Q2076" i="34"/>
  <c r="Q2087" i="34"/>
  <c r="Q2095" i="34"/>
  <c r="O1954" i="34"/>
  <c r="O1962" i="34"/>
  <c r="O1970" i="34"/>
  <c r="O1978" i="34"/>
  <c r="O1942" i="34"/>
  <c r="O1867" i="34"/>
  <c r="O1890" i="34"/>
  <c r="O1937" i="34"/>
  <c r="O1877" i="34"/>
  <c r="O1885" i="34"/>
  <c r="O1903" i="34"/>
  <c r="O1930" i="34"/>
  <c r="O2219" i="34"/>
  <c r="O2223" i="34"/>
  <c r="O2231" i="34"/>
  <c r="O2239" i="34"/>
  <c r="O2247" i="34"/>
  <c r="P2251" i="34"/>
  <c r="P2259" i="34"/>
  <c r="P2267" i="34"/>
  <c r="P2275" i="34"/>
  <c r="P2283" i="34"/>
  <c r="O1584" i="34"/>
  <c r="O1601" i="34"/>
  <c r="O1621" i="34"/>
  <c r="P1654" i="34"/>
  <c r="P1680" i="34"/>
  <c r="P1694" i="34"/>
  <c r="P1724" i="34"/>
  <c r="P1746" i="34"/>
  <c r="P1756" i="34"/>
  <c r="O1787" i="34"/>
  <c r="O1799" i="34"/>
  <c r="O1807" i="34"/>
  <c r="O1815" i="34"/>
  <c r="O1823" i="34"/>
  <c r="O1831" i="34"/>
  <c r="O1839" i="34"/>
  <c r="O1847" i="34"/>
  <c r="O1855" i="34"/>
  <c r="O2002" i="34"/>
  <c r="O2014" i="34"/>
  <c r="O2030" i="34"/>
  <c r="O2046" i="34"/>
  <c r="P2374" i="34"/>
  <c r="P2398" i="34"/>
  <c r="O1987" i="34"/>
  <c r="O1999" i="34"/>
  <c r="O2007" i="34"/>
  <c r="O2015" i="34"/>
  <c r="O2023" i="34"/>
  <c r="O2031" i="34"/>
  <c r="O2039" i="34"/>
  <c r="O2047" i="34"/>
  <c r="O2061" i="34"/>
  <c r="Q2103" i="34"/>
  <c r="O2363" i="34"/>
  <c r="O2371" i="34"/>
  <c r="O2379" i="34"/>
  <c r="O2387" i="34"/>
  <c r="O2395" i="34"/>
  <c r="O2403" i="34"/>
  <c r="O2411" i="34"/>
  <c r="O2419" i="34"/>
  <c r="P2290" i="34"/>
  <c r="P2298" i="34"/>
  <c r="P2306" i="34"/>
  <c r="P2314" i="34"/>
  <c r="P2322" i="34"/>
  <c r="P2330" i="34"/>
  <c r="P2338" i="34"/>
  <c r="Q2346" i="34"/>
  <c r="P2350" i="34"/>
  <c r="P2358" i="34"/>
  <c r="O1990" i="34"/>
  <c r="O2057" i="34"/>
  <c r="Q2077" i="34"/>
  <c r="Q2088" i="34"/>
  <c r="Q2096" i="34"/>
  <c r="O1955" i="34"/>
  <c r="O1963" i="34"/>
  <c r="O1971" i="34"/>
  <c r="O1979" i="34"/>
  <c r="P1868" i="34"/>
  <c r="O1891" i="34"/>
  <c r="O1938" i="34"/>
  <c r="O1878" i="34"/>
  <c r="O1886" i="34"/>
  <c r="P1904" i="34"/>
  <c r="O1931" i="34"/>
  <c r="O2220" i="34"/>
  <c r="O2224" i="34"/>
  <c r="O2232" i="34"/>
  <c r="O2240" i="34"/>
  <c r="P2252" i="34"/>
  <c r="P2260" i="34"/>
  <c r="P2268" i="34"/>
  <c r="P2276" i="34"/>
  <c r="P2284" i="34"/>
  <c r="Q2391" i="34"/>
  <c r="P2395" i="34"/>
  <c r="Q2407" i="34"/>
  <c r="P2411" i="34"/>
  <c r="O2290" i="34"/>
  <c r="Q2302" i="34"/>
  <c r="O2306" i="34"/>
  <c r="Q2318" i="34"/>
  <c r="O2322" i="34"/>
  <c r="Q2334" i="34"/>
  <c r="O2338" i="34"/>
  <c r="Q2354" i="34"/>
  <c r="O2358" i="34"/>
  <c r="Q2053" i="34"/>
  <c r="P2057" i="34"/>
  <c r="P2077" i="34"/>
  <c r="O2081" i="34"/>
  <c r="P2096" i="34"/>
  <c r="P1955" i="34"/>
  <c r="Q1967" i="34"/>
  <c r="P1971" i="34"/>
  <c r="Q1859" i="34"/>
  <c r="O2084" i="34"/>
  <c r="Q1872" i="34"/>
  <c r="P1891" i="34"/>
  <c r="Q1945" i="34"/>
  <c r="P1878" i="34"/>
  <c r="Q1900" i="34"/>
  <c r="O1904" i="34"/>
  <c r="Q1935" i="34"/>
  <c r="P2220" i="34"/>
  <c r="Q2228" i="34"/>
  <c r="P2232" i="34"/>
  <c r="Q2244" i="34"/>
  <c r="Q2256" i="34"/>
  <c r="O2260" i="34"/>
  <c r="Q2272" i="34"/>
  <c r="O2276" i="34"/>
  <c r="P2288" i="34"/>
  <c r="O1575" i="34"/>
  <c r="O1597" i="34"/>
  <c r="P1618" i="34"/>
  <c r="P1638" i="34"/>
  <c r="O1660" i="34"/>
  <c r="P1677" i="34"/>
  <c r="P1686" i="34"/>
  <c r="P1721" i="34"/>
  <c r="P1742" i="34"/>
  <c r="P1751" i="34"/>
  <c r="O1793" i="34"/>
  <c r="P1804" i="34"/>
  <c r="P1812" i="34"/>
  <c r="P1820" i="34"/>
  <c r="P1828" i="34"/>
  <c r="P1836" i="34"/>
  <c r="P1844" i="34"/>
  <c r="P1852" i="34"/>
  <c r="P1996" i="34"/>
  <c r="P2012" i="34"/>
  <c r="P2024" i="34"/>
  <c r="P2044" i="34"/>
  <c r="O2066" i="34"/>
  <c r="Q2104" i="34"/>
  <c r="O2368" i="34"/>
  <c r="O2384" i="34"/>
  <c r="O2392" i="34"/>
  <c r="O2404" i="34"/>
  <c r="O2412" i="34"/>
  <c r="O2420" i="34"/>
  <c r="P2291" i="34"/>
  <c r="P2299" i="34"/>
  <c r="P2307" i="34"/>
  <c r="P2315" i="34"/>
  <c r="P2323" i="34"/>
  <c r="P2331" i="34"/>
  <c r="P2339" i="34"/>
  <c r="Q2347" i="34"/>
  <c r="O2351" i="34"/>
  <c r="O2359" i="34"/>
  <c r="O1991" i="34"/>
  <c r="O2058" i="34"/>
  <c r="Q2078" i="34"/>
  <c r="Q2089" i="34"/>
  <c r="Q2097" i="34"/>
  <c r="P1956" i="34"/>
  <c r="P1964" i="34"/>
  <c r="P1972" i="34"/>
  <c r="P1980" i="34"/>
  <c r="O1869" i="34"/>
  <c r="P1892" i="34"/>
  <c r="O1939" i="34"/>
  <c r="O1879" i="34"/>
  <c r="O1887" i="34"/>
  <c r="O1905" i="34"/>
  <c r="P1932" i="34"/>
  <c r="O2221" i="34"/>
  <c r="O2225" i="34"/>
  <c r="O2233" i="34"/>
  <c r="O2241" i="34"/>
  <c r="P2253" i="34"/>
  <c r="P2261" i="34"/>
  <c r="P2269" i="34"/>
  <c r="P2277" i="34"/>
  <c r="Q2395" i="34"/>
  <c r="P2399" i="34"/>
  <c r="Q2411" i="34"/>
  <c r="P2415" i="34"/>
  <c r="Q2290" i="34"/>
  <c r="O2294" i="34"/>
  <c r="Q2306" i="34"/>
  <c r="O2310" i="34"/>
  <c r="Q2322" i="34"/>
  <c r="O2326" i="34"/>
  <c r="Q2338" i="34"/>
  <c r="O2342" i="34"/>
  <c r="P2346" i="34"/>
  <c r="Q2358" i="34"/>
  <c r="P1950" i="34"/>
  <c r="Q2057" i="34"/>
  <c r="P2069" i="34"/>
  <c r="P2081" i="34"/>
  <c r="O2088" i="34"/>
  <c r="Q1955" i="34"/>
  <c r="P1959" i="34"/>
  <c r="Q1971" i="34"/>
  <c r="P1975" i="34"/>
  <c r="P2084" i="34"/>
  <c r="P1861" i="34"/>
  <c r="Q1891" i="34"/>
  <c r="P1895" i="34"/>
  <c r="Q1878" i="34"/>
  <c r="P1882" i="34"/>
  <c r="Q1904" i="34"/>
  <c r="O1908" i="34"/>
  <c r="Q2220" i="34"/>
  <c r="P1873" i="34"/>
  <c r="Q2232" i="34"/>
  <c r="P2236" i="34"/>
  <c r="Q2248" i="34"/>
  <c r="Q2260" i="34"/>
  <c r="O2264" i="34"/>
  <c r="Q2276" i="34"/>
  <c r="O2280" i="34"/>
  <c r="Q2288" i="34"/>
  <c r="Q1575" i="34"/>
  <c r="P1575" i="34"/>
  <c r="Q1597" i="34"/>
  <c r="P1597" i="34"/>
  <c r="Q1618" i="34"/>
  <c r="O1618" i="34"/>
  <c r="Q1638" i="34"/>
  <c r="O1638" i="34"/>
  <c r="Q1660" i="34"/>
  <c r="P1660" i="34"/>
  <c r="Q1677" i="34"/>
  <c r="O1681" i="34"/>
  <c r="Q1686" i="34"/>
  <c r="O1695" i="34"/>
  <c r="Q1721" i="34"/>
  <c r="O1737" i="34"/>
  <c r="Q1742" i="34"/>
  <c r="O1747" i="34"/>
  <c r="Q1751" i="34"/>
  <c r="O1757" i="34"/>
  <c r="Q1793" i="34"/>
  <c r="P1793" i="34"/>
  <c r="Q1804" i="34"/>
  <c r="O1804" i="34"/>
  <c r="Q1812" i="34"/>
  <c r="O1812" i="34"/>
  <c r="Q1820" i="34"/>
  <c r="O1820" i="34"/>
  <c r="Q1828" i="34"/>
  <c r="O1828" i="34"/>
  <c r="Q1836" i="34"/>
  <c r="O1836" i="34"/>
  <c r="Q1844" i="34"/>
  <c r="O1844" i="34"/>
  <c r="Q1852" i="34"/>
  <c r="O1852" i="34"/>
  <c r="Q1996" i="34"/>
  <c r="O1996" i="34"/>
  <c r="Q2012" i="34"/>
  <c r="O2012" i="34"/>
  <c r="Q2024" i="34"/>
  <c r="O2024" i="34"/>
  <c r="Q2044" i="34"/>
  <c r="O2044" i="34"/>
  <c r="Q2066" i="34"/>
  <c r="P2066" i="34"/>
  <c r="Q2368" i="34"/>
  <c r="P2368" i="34"/>
  <c r="Q2384" i="34"/>
  <c r="P2384" i="34"/>
  <c r="Q2392" i="34"/>
  <c r="P2392" i="34"/>
  <c r="Q2404" i="34"/>
  <c r="P2404" i="34"/>
  <c r="Q2412" i="34"/>
  <c r="P2412" i="34"/>
  <c r="Q2420" i="34"/>
  <c r="P2420" i="34"/>
  <c r="Q2291" i="34"/>
  <c r="O2295" i="34"/>
  <c r="Q2299" i="34"/>
  <c r="O2303" i="34"/>
  <c r="Q2307" i="34"/>
  <c r="O2311" i="34"/>
  <c r="Q2315" i="34"/>
  <c r="O2319" i="34"/>
  <c r="Q2323" i="34"/>
  <c r="O2327" i="34"/>
  <c r="Q2331" i="34"/>
  <c r="O2335" i="34"/>
  <c r="Q2339" i="34"/>
  <c r="O2343" i="34"/>
  <c r="P2343" i="34"/>
  <c r="Q2351" i="34"/>
  <c r="P2351" i="34"/>
  <c r="Q2359" i="34"/>
  <c r="P2359" i="34"/>
  <c r="Q1991" i="34"/>
  <c r="P1991" i="34"/>
  <c r="Q2058" i="34"/>
  <c r="P2058" i="34"/>
  <c r="P2074" i="34"/>
  <c r="O2074" i="34"/>
  <c r="P2082" i="34"/>
  <c r="O2082" i="34"/>
  <c r="P2027" i="34"/>
  <c r="P2035" i="34"/>
  <c r="P2043" i="34"/>
  <c r="P2051" i="34"/>
  <c r="P2065" i="34"/>
  <c r="O2103" i="34"/>
  <c r="P2367" i="34"/>
  <c r="P2375" i="34"/>
  <c r="P2383" i="34"/>
  <c r="P2387" i="34"/>
  <c r="Q2399" i="34"/>
  <c r="P2403" i="34"/>
  <c r="Q2415" i="34"/>
  <c r="P2419" i="34"/>
  <c r="Q2294" i="34"/>
  <c r="O2298" i="34"/>
  <c r="Q2310" i="34"/>
  <c r="O2314" i="34"/>
  <c r="Q2326" i="34"/>
  <c r="O2330" i="34"/>
  <c r="Q2342" i="34"/>
  <c r="O2346" i="34"/>
  <c r="O2350" i="34"/>
  <c r="Q1950" i="34"/>
  <c r="P1990" i="34"/>
  <c r="Q2069" i="34"/>
  <c r="O2073" i="34"/>
  <c r="P2088" i="34"/>
  <c r="O2092" i="34"/>
  <c r="Q1959" i="34"/>
  <c r="P1963" i="34"/>
  <c r="Q1975" i="34"/>
  <c r="P1979" i="34"/>
  <c r="Q1861" i="34"/>
  <c r="O1868" i="34"/>
  <c r="Q1895" i="34"/>
  <c r="P1938" i="34"/>
  <c r="Q1882" i="34"/>
  <c r="P1886" i="34"/>
  <c r="Q1908" i="34"/>
  <c r="P1931" i="34"/>
  <c r="Q1873" i="34"/>
  <c r="P2224" i="34"/>
  <c r="Q2236" i="34"/>
  <c r="P2240" i="34"/>
  <c r="P2248" i="34"/>
  <c r="O2252" i="34"/>
  <c r="Q2264" i="34"/>
  <c r="O2268" i="34"/>
  <c r="Q2280" i="34"/>
  <c r="O2284" i="34"/>
  <c r="O1592" i="34"/>
  <c r="P1602" i="34"/>
  <c r="P1622" i="34"/>
  <c r="O1655" i="34"/>
  <c r="P1681" i="34"/>
  <c r="P1695" i="34"/>
  <c r="P1737" i="34"/>
  <c r="P1747" i="34"/>
  <c r="P1757" i="34"/>
  <c r="P1788" i="34"/>
  <c r="P1800" i="34"/>
  <c r="P1808" i="34"/>
  <c r="P1816" i="34"/>
  <c r="P1824" i="34"/>
  <c r="P1832" i="34"/>
  <c r="P1840" i="34"/>
  <c r="P1848" i="34"/>
  <c r="P1856" i="34"/>
  <c r="P2004" i="34"/>
  <c r="P2016" i="34"/>
  <c r="P2036" i="34"/>
  <c r="P2052" i="34"/>
  <c r="O2376" i="34"/>
  <c r="O2388" i="34"/>
  <c r="O2400" i="34"/>
  <c r="O2408" i="34"/>
  <c r="O2416" i="34"/>
  <c r="P2295" i="34"/>
  <c r="P2303" i="34"/>
  <c r="P2311" i="34"/>
  <c r="P2319" i="34"/>
  <c r="P2327" i="34"/>
  <c r="P2335" i="34"/>
  <c r="Q2343" i="34"/>
  <c r="O2355" i="34"/>
  <c r="O1951" i="34"/>
  <c r="O2054" i="34"/>
  <c r="O2070" i="34"/>
  <c r="Q2074" i="34"/>
  <c r="Q2082" i="34"/>
  <c r="Q2093" i="34"/>
  <c r="P1960" i="34"/>
  <c r="P1968" i="34"/>
  <c r="P1976" i="34"/>
  <c r="P1860" i="34"/>
  <c r="Q2086" i="34"/>
  <c r="O1862" i="34"/>
  <c r="P1888" i="34"/>
  <c r="Q2027" i="34"/>
  <c r="Q2035" i="34"/>
  <c r="Q2043" i="34"/>
  <c r="Q2051" i="34"/>
  <c r="Q2065" i="34"/>
  <c r="P2103" i="34"/>
  <c r="Q2367" i="34"/>
  <c r="Q2375" i="34"/>
  <c r="Q2383" i="34"/>
  <c r="P2391" i="34"/>
  <c r="Q2403" i="34"/>
  <c r="P2407" i="34"/>
  <c r="Q2419" i="34"/>
  <c r="Q2298" i="34"/>
  <c r="O2302" i="34"/>
  <c r="Q2314" i="34"/>
  <c r="O2318" i="34"/>
  <c r="Q2330" i="34"/>
  <c r="O2334" i="34"/>
  <c r="Q2350" i="34"/>
  <c r="O2354" i="34"/>
  <c r="Q1990" i="34"/>
  <c r="P2053" i="34"/>
  <c r="P2073" i="34"/>
  <c r="O2077" i="34"/>
  <c r="P2092" i="34"/>
  <c r="O2096" i="34"/>
  <c r="Q1963" i="34"/>
  <c r="P1967" i="34"/>
  <c r="Q1979" i="34"/>
  <c r="P1859" i="34"/>
  <c r="Q1868" i="34"/>
  <c r="O1872" i="34"/>
  <c r="Q1938" i="34"/>
  <c r="P1945" i="34"/>
  <c r="Q1886" i="34"/>
  <c r="O1900" i="34"/>
  <c r="Q1931" i="34"/>
  <c r="P1935" i="34"/>
  <c r="Q2224" i="34"/>
  <c r="P2228" i="34"/>
  <c r="Q2240" i="34"/>
  <c r="P2244" i="34"/>
  <c r="Q2252" i="34"/>
  <c r="O2256" i="34"/>
  <c r="Q2268" i="34"/>
  <c r="O2272" i="34"/>
  <c r="Q2284" i="34"/>
  <c r="O2288" i="34"/>
  <c r="Q1592" i="34"/>
  <c r="P1592" i="34"/>
  <c r="Q1602" i="34"/>
  <c r="O1602" i="34"/>
  <c r="Q1622" i="34"/>
  <c r="O1622" i="34"/>
  <c r="Q1655" i="34"/>
  <c r="P1655" i="34"/>
  <c r="O1677" i="34"/>
  <c r="Q1681" i="34"/>
  <c r="O1686" i="34"/>
  <c r="Q1695" i="34"/>
  <c r="O1721" i="34"/>
  <c r="Q1737" i="34"/>
  <c r="O1742" i="34"/>
  <c r="Q1747" i="34"/>
  <c r="O1751" i="34"/>
  <c r="Q1757" i="34"/>
  <c r="Q1788" i="34"/>
  <c r="O1788" i="34"/>
  <c r="Q1800" i="34"/>
  <c r="O1800" i="34"/>
  <c r="Q1808" i="34"/>
  <c r="O1808" i="34"/>
  <c r="Q1816" i="34"/>
  <c r="O1816" i="34"/>
  <c r="Q1824" i="34"/>
  <c r="O1824" i="34"/>
  <c r="Q1832" i="34"/>
  <c r="O1832" i="34"/>
  <c r="Q1840" i="34"/>
  <c r="O1840" i="34"/>
  <c r="Q1848" i="34"/>
  <c r="O1848" i="34"/>
  <c r="Q1856" i="34"/>
  <c r="O1856" i="34"/>
  <c r="Q2004" i="34"/>
  <c r="O2004" i="34"/>
  <c r="Q2016" i="34"/>
  <c r="O2016" i="34"/>
  <c r="Q2036" i="34"/>
  <c r="O2036" i="34"/>
  <c r="Q2052" i="34"/>
  <c r="O2052" i="34"/>
  <c r="P2104" i="34"/>
  <c r="O2104" i="34"/>
  <c r="Q2376" i="34"/>
  <c r="P2376" i="34"/>
  <c r="Q2388" i="34"/>
  <c r="P2388" i="34"/>
  <c r="Q2400" i="34"/>
  <c r="P2400" i="34"/>
  <c r="Q2408" i="34"/>
  <c r="P2408" i="34"/>
  <c r="Q2416" i="34"/>
  <c r="P2416" i="34"/>
  <c r="O2291" i="34"/>
  <c r="Q2295" i="34"/>
  <c r="O2299" i="34"/>
  <c r="Q2303" i="34"/>
  <c r="O2307" i="34"/>
  <c r="Q2311" i="34"/>
  <c r="O2315" i="34"/>
  <c r="Q2319" i="34"/>
  <c r="O2323" i="34"/>
  <c r="Q2327" i="34"/>
  <c r="O2331" i="34"/>
  <c r="Q2335" i="34"/>
  <c r="O2339" i="34"/>
  <c r="O2347" i="34"/>
  <c r="P2347" i="34"/>
  <c r="Q2355" i="34"/>
  <c r="P2355" i="34"/>
  <c r="Q1951" i="34"/>
  <c r="P1951" i="34"/>
  <c r="Q2054" i="34"/>
  <c r="P2054" i="34"/>
  <c r="Q2070" i="34"/>
  <c r="P2070" i="34"/>
  <c r="P2078" i="34"/>
  <c r="O2078" i="34"/>
  <c r="P2089" i="34"/>
  <c r="O2089" i="34"/>
  <c r="P2097" i="34"/>
  <c r="O2097" i="34"/>
  <c r="Q1960" i="34"/>
  <c r="O1960" i="34"/>
  <c r="Q1968" i="34"/>
  <c r="O1968" i="34"/>
  <c r="Q1976" i="34"/>
  <c r="O1976" i="34"/>
  <c r="Q1860" i="34"/>
  <c r="O1860" i="34"/>
  <c r="Q1862" i="34"/>
  <c r="P1862" i="34"/>
  <c r="Q1888" i="34"/>
  <c r="O1888" i="34"/>
  <c r="Q1896" i="34"/>
  <c r="O1896" i="34"/>
  <c r="Q1875" i="34"/>
  <c r="P1875" i="34"/>
  <c r="Q1883" i="34"/>
  <c r="P1883" i="34"/>
  <c r="Q1901" i="34"/>
  <c r="P1901" i="34"/>
  <c r="Q1914" i="34"/>
  <c r="P1914" i="34"/>
  <c r="Q2217" i="34"/>
  <c r="P2217" i="34"/>
  <c r="Q1874" i="34"/>
  <c r="P1874" i="34"/>
  <c r="Q2229" i="34"/>
  <c r="P2229" i="34"/>
  <c r="Q2237" i="34"/>
  <c r="P2237" i="34"/>
  <c r="Q2245" i="34"/>
  <c r="P2245" i="34"/>
  <c r="Q2249" i="34"/>
  <c r="O2253" i="34"/>
  <c r="Q2257" i="34"/>
  <c r="O2261" i="34"/>
  <c r="O2093" i="34"/>
  <c r="O1956" i="34"/>
  <c r="O1964" i="34"/>
  <c r="O1972" i="34"/>
  <c r="O1980" i="34"/>
  <c r="O2086" i="34"/>
  <c r="P1869" i="34"/>
  <c r="O1892" i="34"/>
  <c r="P1896" i="34"/>
  <c r="Q1887" i="34"/>
  <c r="P1905" i="34"/>
  <c r="O1914" i="34"/>
  <c r="Q2225" i="34"/>
  <c r="P2233" i="34"/>
  <c r="O2237" i="34"/>
  <c r="P2249" i="34"/>
  <c r="Q2253" i="34"/>
  <c r="O2257" i="34"/>
  <c r="Q2269" i="34"/>
  <c r="O2273" i="34"/>
  <c r="P2281" i="34"/>
  <c r="P2289" i="34"/>
  <c r="O1576" i="34"/>
  <c r="P1598" i="34"/>
  <c r="O1619" i="34"/>
  <c r="O1639" i="34"/>
  <c r="O1661" i="34"/>
  <c r="P1678" i="34"/>
  <c r="P1692" i="34"/>
  <c r="P1722" i="34"/>
  <c r="P1743" i="34"/>
  <c r="P1753" i="34"/>
  <c r="O1794" i="34"/>
  <c r="O1805" i="34"/>
  <c r="O1813" i="34"/>
  <c r="O1821" i="34"/>
  <c r="O1829" i="34"/>
  <c r="O1837" i="34"/>
  <c r="O1845" i="34"/>
  <c r="O1853" i="34"/>
  <c r="P1984" i="34"/>
  <c r="P2000" i="34"/>
  <c r="P2020" i="34"/>
  <c r="P2032" i="34"/>
  <c r="P2048" i="34"/>
  <c r="O2372" i="34"/>
  <c r="O2396" i="34"/>
  <c r="O1989" i="34"/>
  <c r="O2001" i="34"/>
  <c r="O2009" i="34"/>
  <c r="O2017" i="34"/>
  <c r="O2025" i="34"/>
  <c r="O2033" i="34"/>
  <c r="O2041" i="34"/>
  <c r="O2049" i="34"/>
  <c r="O2063" i="34"/>
  <c r="Q2105" i="34"/>
  <c r="O2365" i="34"/>
  <c r="O2373" i="34"/>
  <c r="O2381" i="34"/>
  <c r="O2389" i="34"/>
  <c r="O2397" i="34"/>
  <c r="O2405" i="34"/>
  <c r="O2413" i="34"/>
  <c r="O2421" i="34"/>
  <c r="P2292" i="34"/>
  <c r="P2300" i="34"/>
  <c r="P2308" i="34"/>
  <c r="P2316" i="34"/>
  <c r="P2324" i="34"/>
  <c r="P2332" i="34"/>
  <c r="P2340" i="34"/>
  <c r="Q2348" i="34"/>
  <c r="O2352" i="34"/>
  <c r="O2360" i="34"/>
  <c r="P1992" i="34"/>
  <c r="O2059" i="34"/>
  <c r="Q2079" i="34"/>
  <c r="Q2090" i="34"/>
  <c r="Q2098" i="34"/>
  <c r="O1957" i="34"/>
  <c r="O1965" i="34"/>
  <c r="O1973" i="34"/>
  <c r="O1981" i="34"/>
  <c r="O2207" i="34"/>
  <c r="O1870" i="34"/>
  <c r="O1893" i="34"/>
  <c r="O1943" i="34"/>
  <c r="P1880" i="34"/>
  <c r="O1898" i="34"/>
  <c r="O1906" i="34"/>
  <c r="O1933" i="34"/>
  <c r="O1865" i="34"/>
  <c r="P2226" i="34"/>
  <c r="P2234" i="34"/>
  <c r="P2242" i="34"/>
  <c r="P2254" i="34"/>
  <c r="P2262" i="34"/>
  <c r="P2270" i="34"/>
  <c r="P2278" i="34"/>
  <c r="P2286" i="34"/>
  <c r="O1573" i="34"/>
  <c r="P1594" i="34"/>
  <c r="O1616" i="34"/>
  <c r="O1636" i="34"/>
  <c r="P1658" i="34"/>
  <c r="P1683" i="34"/>
  <c r="P1705" i="34"/>
  <c r="P1740" i="34"/>
  <c r="P1749" i="34"/>
  <c r="O1791" i="34"/>
  <c r="O1802" i="34"/>
  <c r="O1810" i="34"/>
  <c r="O1818" i="34"/>
  <c r="O1826" i="34"/>
  <c r="O1834" i="34"/>
  <c r="O1842" i="34"/>
  <c r="O1850" i="34"/>
  <c r="O1858" i="34"/>
  <c r="P2093" i="34"/>
  <c r="Q1956" i="34"/>
  <c r="Q1964" i="34"/>
  <c r="Q1972" i="34"/>
  <c r="Q1980" i="34"/>
  <c r="P2086" i="34"/>
  <c r="Q1869" i="34"/>
  <c r="Q1892" i="34"/>
  <c r="P1939" i="34"/>
  <c r="O1875" i="34"/>
  <c r="Q1905" i="34"/>
  <c r="O1932" i="34"/>
  <c r="O2217" i="34"/>
  <c r="Q2233" i="34"/>
  <c r="P2241" i="34"/>
  <c r="O2245" i="34"/>
  <c r="P2257" i="34"/>
  <c r="Q2261" i="34"/>
  <c r="O2265" i="34"/>
  <c r="P2273" i="34"/>
  <c r="Q2281" i="34"/>
  <c r="O2285" i="34"/>
  <c r="Q2289" i="34"/>
  <c r="Q1576" i="34"/>
  <c r="P1576" i="34"/>
  <c r="Q1598" i="34"/>
  <c r="O1598" i="34"/>
  <c r="Q1619" i="34"/>
  <c r="P1619" i="34"/>
  <c r="Q1639" i="34"/>
  <c r="P1639" i="34"/>
  <c r="Q1661" i="34"/>
  <c r="P1661" i="34"/>
  <c r="Q1678" i="34"/>
  <c r="O1682" i="34"/>
  <c r="Q1692" i="34"/>
  <c r="O1696" i="34"/>
  <c r="Q1722" i="34"/>
  <c r="O1738" i="34"/>
  <c r="Q1743" i="34"/>
  <c r="O1748" i="34"/>
  <c r="Q1753" i="34"/>
  <c r="P1758" i="34"/>
  <c r="O1758" i="34"/>
  <c r="Q1794" i="34"/>
  <c r="P1794" i="34"/>
  <c r="Q1805" i="34"/>
  <c r="P1805" i="34"/>
  <c r="Q1813" i="34"/>
  <c r="P1813" i="34"/>
  <c r="Q1821" i="34"/>
  <c r="P1821" i="34"/>
  <c r="Q1829" i="34"/>
  <c r="P1829" i="34"/>
  <c r="Q1837" i="34"/>
  <c r="P1837" i="34"/>
  <c r="Q1845" i="34"/>
  <c r="P1845" i="34"/>
  <c r="Q1853" i="34"/>
  <c r="P1853" i="34"/>
  <c r="Q1984" i="34"/>
  <c r="O1984" i="34"/>
  <c r="Q2000" i="34"/>
  <c r="O2000" i="34"/>
  <c r="Q2020" i="34"/>
  <c r="O2020" i="34"/>
  <c r="Q2032" i="34"/>
  <c r="O2032" i="34"/>
  <c r="Q2048" i="34"/>
  <c r="O2048" i="34"/>
  <c r="P2100" i="34"/>
  <c r="O2100" i="34"/>
  <c r="Q2372" i="34"/>
  <c r="P2372" i="34"/>
  <c r="Q2396" i="34"/>
  <c r="P2396" i="34"/>
  <c r="Q1989" i="34"/>
  <c r="P1989" i="34"/>
  <c r="Q2001" i="34"/>
  <c r="P2001" i="34"/>
  <c r="Q2009" i="34"/>
  <c r="P2009" i="34"/>
  <c r="Q2017" i="34"/>
  <c r="P2017" i="34"/>
  <c r="Q2025" i="34"/>
  <c r="P2025" i="34"/>
  <c r="Q2033" i="34"/>
  <c r="P2033" i="34"/>
  <c r="Q2041" i="34"/>
  <c r="P2041" i="34"/>
  <c r="Q2049" i="34"/>
  <c r="P2049" i="34"/>
  <c r="Q2063" i="34"/>
  <c r="P2063" i="34"/>
  <c r="P2101" i="34"/>
  <c r="O2101" i="34"/>
  <c r="Q2365" i="34"/>
  <c r="P2365" i="34"/>
  <c r="Q2373" i="34"/>
  <c r="P2373" i="34"/>
  <c r="Q2381" i="34"/>
  <c r="P2381" i="34"/>
  <c r="Q2389" i="34"/>
  <c r="P2389" i="34"/>
  <c r="Q2397" i="34"/>
  <c r="P2397" i="34"/>
  <c r="Q2405" i="34"/>
  <c r="P2405" i="34"/>
  <c r="Q2413" i="34"/>
  <c r="P2413" i="34"/>
  <c r="Q2421" i="34"/>
  <c r="P2421" i="34"/>
  <c r="Q2292" i="34"/>
  <c r="O2296" i="34"/>
  <c r="Q2300" i="34"/>
  <c r="O2304" i="34"/>
  <c r="Q2308" i="34"/>
  <c r="O2312" i="34"/>
  <c r="Q2316" i="34"/>
  <c r="O2320" i="34"/>
  <c r="Q2324" i="34"/>
  <c r="O2328" i="34"/>
  <c r="Q2332" i="34"/>
  <c r="O2336" i="34"/>
  <c r="Q2340" i="34"/>
  <c r="O2344" i="34"/>
  <c r="P2344" i="34"/>
  <c r="Q2352" i="34"/>
  <c r="P2352" i="34"/>
  <c r="Q2360" i="34"/>
  <c r="P2360" i="34"/>
  <c r="Q1992" i="34"/>
  <c r="O1992" i="34"/>
  <c r="Q2059" i="34"/>
  <c r="P2059" i="34"/>
  <c r="P2075" i="34"/>
  <c r="O2075" i="34"/>
  <c r="P2083" i="34"/>
  <c r="O2083" i="34"/>
  <c r="P2094" i="34"/>
  <c r="O2094" i="34"/>
  <c r="Q1957" i="34"/>
  <c r="P1957" i="34"/>
  <c r="Q1965" i="34"/>
  <c r="P1965" i="34"/>
  <c r="Q1973" i="34"/>
  <c r="P1973" i="34"/>
  <c r="Q1981" i="34"/>
  <c r="P1981" i="34"/>
  <c r="Q2207" i="34"/>
  <c r="P2207" i="34"/>
  <c r="Q1870" i="34"/>
  <c r="P1870" i="34"/>
  <c r="Q1893" i="34"/>
  <c r="P1893" i="34"/>
  <c r="Q1943" i="34"/>
  <c r="P1943" i="34"/>
  <c r="Q1880" i="34"/>
  <c r="O1880" i="34"/>
  <c r="Q1898" i="34"/>
  <c r="P1898" i="34"/>
  <c r="Q1906" i="34"/>
  <c r="P1906" i="34"/>
  <c r="Q1933" i="34"/>
  <c r="P1933" i="34"/>
  <c r="Q1865" i="34"/>
  <c r="P1865" i="34"/>
  <c r="Q2226" i="34"/>
  <c r="O2226" i="34"/>
  <c r="Q2234" i="34"/>
  <c r="Q1939" i="34"/>
  <c r="P1879" i="34"/>
  <c r="O1883" i="34"/>
  <c r="Q1932" i="34"/>
  <c r="P2221" i="34"/>
  <c r="O1874" i="34"/>
  <c r="Q2241" i="34"/>
  <c r="P2265" i="34"/>
  <c r="Q2273" i="34"/>
  <c r="O2277" i="34"/>
  <c r="P2285" i="34"/>
  <c r="O1593" i="34"/>
  <c r="O1603" i="34"/>
  <c r="O1635" i="34"/>
  <c r="O1657" i="34"/>
  <c r="P1682" i="34"/>
  <c r="P1696" i="34"/>
  <c r="P1738" i="34"/>
  <c r="P1748" i="34"/>
  <c r="Q1758" i="34"/>
  <c r="O1790" i="34"/>
  <c r="O1801" i="34"/>
  <c r="O1809" i="34"/>
  <c r="O1817" i="34"/>
  <c r="O1825" i="34"/>
  <c r="O1833" i="34"/>
  <c r="O1841" i="34"/>
  <c r="O1849" i="34"/>
  <c r="O1857" i="34"/>
  <c r="P1988" i="34"/>
  <c r="P2008" i="34"/>
  <c r="P2028" i="34"/>
  <c r="P2040" i="34"/>
  <c r="O2062" i="34"/>
  <c r="Q2100" i="34"/>
  <c r="O2364" i="34"/>
  <c r="O2380" i="34"/>
  <c r="O1985" i="34"/>
  <c r="O1997" i="34"/>
  <c r="O2005" i="34"/>
  <c r="O2013" i="34"/>
  <c r="O2021" i="34"/>
  <c r="O2029" i="34"/>
  <c r="O2037" i="34"/>
  <c r="O2045" i="34"/>
  <c r="P1948" i="34"/>
  <c r="O2067" i="34"/>
  <c r="Q2101" i="34"/>
  <c r="O2369" i="34"/>
  <c r="O2377" i="34"/>
  <c r="O2385" i="34"/>
  <c r="O2393" i="34"/>
  <c r="O2401" i="34"/>
  <c r="O2409" i="34"/>
  <c r="O2417" i="34"/>
  <c r="P2296" i="34"/>
  <c r="P2304" i="34"/>
  <c r="P2312" i="34"/>
  <c r="P2320" i="34"/>
  <c r="P2328" i="34"/>
  <c r="P2336" i="34"/>
  <c r="Q2344" i="34"/>
  <c r="O2356" i="34"/>
  <c r="P1952" i="34"/>
  <c r="O2055" i="34"/>
  <c r="O2071" i="34"/>
  <c r="Q2075" i="34"/>
  <c r="Q2083" i="34"/>
  <c r="Q2094" i="34"/>
  <c r="O1961" i="34"/>
  <c r="O1969" i="34"/>
  <c r="O1977" i="34"/>
  <c r="P1940" i="34"/>
  <c r="O1863" i="34"/>
  <c r="O1889" i="34"/>
  <c r="P1936" i="34"/>
  <c r="P1876" i="34"/>
  <c r="P1884" i="34"/>
  <c r="O1902" i="34"/>
  <c r="O1922" i="34"/>
  <c r="P2218" i="34"/>
  <c r="P2222" i="34"/>
  <c r="P2230" i="34"/>
  <c r="P2238" i="34"/>
  <c r="P2246" i="34"/>
  <c r="P2250" i="34"/>
  <c r="P2258" i="34"/>
  <c r="P2266" i="34"/>
  <c r="P2274" i="34"/>
  <c r="P2282" i="34"/>
  <c r="O1583" i="34"/>
  <c r="O1600" i="34"/>
  <c r="O1620" i="34"/>
  <c r="O1653" i="34"/>
  <c r="O1662" i="34"/>
  <c r="P1679" i="34"/>
  <c r="P1693" i="34"/>
  <c r="P1723" i="34"/>
  <c r="P1744" i="34"/>
  <c r="P1754" i="34"/>
  <c r="O1786" i="34"/>
  <c r="O1798" i="34"/>
  <c r="O1806" i="34"/>
  <c r="O1814" i="34"/>
  <c r="O1822" i="34"/>
  <c r="O1830" i="34"/>
  <c r="O1838" i="34"/>
  <c r="O1846" i="34"/>
  <c r="O1854" i="34"/>
  <c r="Q1879" i="34"/>
  <c r="P1887" i="34"/>
  <c r="O1901" i="34"/>
  <c r="Q2221" i="34"/>
  <c r="P2225" i="34"/>
  <c r="O2229" i="34"/>
  <c r="O2249" i="34"/>
  <c r="Q2265" i="34"/>
  <c r="O2269" i="34"/>
  <c r="Q2277" i="34"/>
  <c r="O2281" i="34"/>
  <c r="Q2285" i="34"/>
  <c r="O2289" i="34"/>
  <c r="Q1593" i="34"/>
  <c r="P1593" i="34"/>
  <c r="Q1603" i="34"/>
  <c r="P1603" i="34"/>
  <c r="Q1635" i="34"/>
  <c r="P1635" i="34"/>
  <c r="Q1657" i="34"/>
  <c r="P1657" i="34"/>
  <c r="O1678" i="34"/>
  <c r="Q1682" i="34"/>
  <c r="O1692" i="34"/>
  <c r="Q1696" i="34"/>
  <c r="O1722" i="34"/>
  <c r="Q1738" i="34"/>
  <c r="O1743" i="34"/>
  <c r="Q1748" i="34"/>
  <c r="O1753" i="34"/>
  <c r="Q1790" i="34"/>
  <c r="P1790" i="34"/>
  <c r="Q1801" i="34"/>
  <c r="P1801" i="34"/>
  <c r="Q1809" i="34"/>
  <c r="P1809" i="34"/>
  <c r="Q1817" i="34"/>
  <c r="P1817" i="34"/>
  <c r="Q1825" i="34"/>
  <c r="P1825" i="34"/>
  <c r="Q1833" i="34"/>
  <c r="P1833" i="34"/>
  <c r="Q1841" i="34"/>
  <c r="P1841" i="34"/>
  <c r="Q1849" i="34"/>
  <c r="P1849" i="34"/>
  <c r="Q1857" i="34"/>
  <c r="P1857" i="34"/>
  <c r="Q1988" i="34"/>
  <c r="O1988" i="34"/>
  <c r="Q2008" i="34"/>
  <c r="O2008" i="34"/>
  <c r="Q2028" i="34"/>
  <c r="O2028" i="34"/>
  <c r="Q2040" i="34"/>
  <c r="O2040" i="34"/>
  <c r="Q2062" i="34"/>
  <c r="P2062" i="34"/>
  <c r="Q2364" i="34"/>
  <c r="P2364" i="34"/>
  <c r="Q2380" i="34"/>
  <c r="P2380" i="34"/>
  <c r="Q1985" i="34"/>
  <c r="P1985" i="34"/>
  <c r="Q1997" i="34"/>
  <c r="P1997" i="34"/>
  <c r="Q2005" i="34"/>
  <c r="P2005" i="34"/>
  <c r="Q2013" i="34"/>
  <c r="P2013" i="34"/>
  <c r="Q2021" i="34"/>
  <c r="P2021" i="34"/>
  <c r="Q2029" i="34"/>
  <c r="P2029" i="34"/>
  <c r="Q2037" i="34"/>
  <c r="P2037" i="34"/>
  <c r="Q2045" i="34"/>
  <c r="P2045" i="34"/>
  <c r="Q1948" i="34"/>
  <c r="O1948" i="34"/>
  <c r="Q2067" i="34"/>
  <c r="P2067" i="34"/>
  <c r="P2105" i="34"/>
  <c r="O2105" i="34"/>
  <c r="Q2369" i="34"/>
  <c r="P2369" i="34"/>
  <c r="Q2377" i="34"/>
  <c r="P2377" i="34"/>
  <c r="Q2385" i="34"/>
  <c r="P2385" i="34"/>
  <c r="Q2393" i="34"/>
  <c r="P2393" i="34"/>
  <c r="Q2401" i="34"/>
  <c r="P2401" i="34"/>
  <c r="Q2409" i="34"/>
  <c r="P2409" i="34"/>
  <c r="Q2417" i="34"/>
  <c r="P2417" i="34"/>
  <c r="O2292" i="34"/>
  <c r="Q2296" i="34"/>
  <c r="O2300" i="34"/>
  <c r="Q2304" i="34"/>
  <c r="O2308" i="34"/>
  <c r="Q2312" i="34"/>
  <c r="O2316" i="34"/>
  <c r="Q2320" i="34"/>
  <c r="O2324" i="34"/>
  <c r="Q2328" i="34"/>
  <c r="O2332" i="34"/>
  <c r="Q2336" i="34"/>
  <c r="O2340" i="34"/>
  <c r="O2348" i="34"/>
  <c r="P2348" i="34"/>
  <c r="Q2356" i="34"/>
  <c r="P2356" i="34"/>
  <c r="Q1952" i="34"/>
  <c r="O1952" i="34"/>
  <c r="Q2055" i="34"/>
  <c r="P2055" i="34"/>
  <c r="Q2071" i="34"/>
  <c r="P2071" i="34"/>
  <c r="P2079" i="34"/>
  <c r="O2079" i="34"/>
  <c r="P2090" i="34"/>
  <c r="O2090" i="34"/>
  <c r="P2098" i="34"/>
  <c r="O2098" i="34"/>
  <c r="Q1961" i="34"/>
  <c r="P1961" i="34"/>
  <c r="Q1969" i="34"/>
  <c r="P1969" i="34"/>
  <c r="Q1977" i="34"/>
  <c r="P1977" i="34"/>
  <c r="Q1940" i="34"/>
  <c r="O1940" i="34"/>
  <c r="Q1863" i="34"/>
  <c r="P1863" i="34"/>
  <c r="Q1889" i="34"/>
  <c r="P1889" i="34"/>
  <c r="Q1936" i="34"/>
  <c r="O1936" i="34"/>
  <c r="Q1876" i="34"/>
  <c r="O1876" i="34"/>
  <c r="Q1884" i="34"/>
  <c r="O1884" i="34"/>
  <c r="Q1902" i="34"/>
  <c r="P1902" i="34"/>
  <c r="Q1922" i="34"/>
  <c r="P1922" i="34"/>
  <c r="Q2218" i="34"/>
  <c r="O2218" i="34"/>
  <c r="Q2222" i="34"/>
  <c r="O2222" i="34"/>
  <c r="Q2230" i="34"/>
  <c r="O2230" i="34"/>
  <c r="Q2238" i="34"/>
  <c r="O2238" i="34"/>
  <c r="Q2246" i="34"/>
  <c r="O2246" i="34"/>
  <c r="Q2250" i="34"/>
  <c r="O2254" i="34"/>
  <c r="Q2258" i="34"/>
  <c r="O2262" i="34"/>
  <c r="Q2266" i="34"/>
  <c r="O2270" i="34"/>
  <c r="Q2274" i="34"/>
  <c r="O2278" i="34"/>
  <c r="Q2282" i="34"/>
  <c r="O2286" i="34"/>
  <c r="Q1583" i="34"/>
  <c r="P1583" i="34"/>
  <c r="Q1600" i="34"/>
  <c r="P1600" i="34"/>
  <c r="Q1620" i="34"/>
  <c r="P1620" i="34"/>
  <c r="Q1653" i="34"/>
  <c r="P1653" i="34"/>
  <c r="Q1662" i="34"/>
  <c r="Q1679" i="34"/>
  <c r="O1683" i="34"/>
  <c r="Q1693" i="34"/>
  <c r="O1705" i="34"/>
  <c r="Q1723" i="34"/>
  <c r="O1740" i="34"/>
  <c r="Q1744" i="34"/>
  <c r="O1749" i="34"/>
  <c r="Q1754" i="34"/>
  <c r="Q1786" i="34"/>
  <c r="P1786" i="34"/>
  <c r="Q1798" i="34"/>
  <c r="P1798" i="34"/>
  <c r="Q1806" i="34"/>
  <c r="P1806" i="34"/>
  <c r="O1679" i="34"/>
  <c r="Q1683" i="34"/>
  <c r="O1693" i="34"/>
  <c r="Q1705" i="34"/>
  <c r="O1723" i="34"/>
  <c r="Q1740" i="34"/>
  <c r="O1744" i="34"/>
  <c r="Q1749" i="34"/>
  <c r="O1754" i="34"/>
  <c r="Q1814" i="34"/>
  <c r="P1818" i="34"/>
  <c r="Q1830" i="34"/>
  <c r="P1834" i="34"/>
  <c r="Q1846" i="34"/>
  <c r="P1850" i="34"/>
  <c r="P1662" i="34"/>
  <c r="Q1818" i="34"/>
  <c r="P1822" i="34"/>
  <c r="Q1834" i="34"/>
  <c r="P1838" i="34"/>
  <c r="Q1850" i="34"/>
  <c r="P1854" i="34"/>
  <c r="O2234" i="34"/>
  <c r="O2242" i="34"/>
  <c r="P1573" i="34"/>
  <c r="O1594" i="34"/>
  <c r="P1616" i="34"/>
  <c r="P1636" i="34"/>
  <c r="O1658" i="34"/>
  <c r="P1791" i="34"/>
  <c r="P1802" i="34"/>
  <c r="P1810" i="34"/>
  <c r="Q1822" i="34"/>
  <c r="P1826" i="34"/>
  <c r="Q1838" i="34"/>
  <c r="P1842" i="34"/>
  <c r="Q1854" i="34"/>
  <c r="P1858" i="34"/>
  <c r="Q2242" i="34"/>
  <c r="O2250" i="34"/>
  <c r="Q2254" i="34"/>
  <c r="O2258" i="34"/>
  <c r="Q2262" i="34"/>
  <c r="O2266" i="34"/>
  <c r="Q2270" i="34"/>
  <c r="O2274" i="34"/>
  <c r="Q2278" i="34"/>
  <c r="O2282" i="34"/>
  <c r="Q2286" i="34"/>
  <c r="Q1573" i="34"/>
  <c r="Q1594" i="34"/>
  <c r="Q1616" i="34"/>
  <c r="Q1636" i="34"/>
  <c r="Q1658" i="34"/>
  <c r="Q1791" i="34"/>
  <c r="Q1802" i="34"/>
  <c r="Q1810" i="34"/>
  <c r="P1814" i="34"/>
  <c r="Q1826" i="34"/>
  <c r="P1830" i="34"/>
  <c r="Q1842" i="34"/>
  <c r="P1846" i="34"/>
  <c r="Q1858" i="34"/>
  <c r="Q2216" i="34"/>
  <c r="P2216" i="34"/>
  <c r="Q2451" i="34"/>
  <c r="P2451" i="34"/>
  <c r="Q1471" i="34"/>
  <c r="P1471" i="34"/>
  <c r="Q1345" i="34"/>
  <c r="P1345" i="34"/>
  <c r="Q1407" i="34"/>
  <c r="P1407" i="34"/>
  <c r="O1290" i="34"/>
  <c r="Q1154" i="34"/>
  <c r="P1154" i="34"/>
  <c r="Q1185" i="34"/>
  <c r="O1185" i="34"/>
  <c r="Q999" i="34"/>
  <c r="O999" i="34"/>
  <c r="Q1023" i="34"/>
  <c r="Q859" i="34"/>
  <c r="P859" i="34"/>
  <c r="Q834" i="34"/>
  <c r="P834" i="34"/>
  <c r="Q780" i="34"/>
  <c r="P780" i="34"/>
  <c r="Q706" i="34"/>
  <c r="P706" i="34"/>
  <c r="Q669" i="34"/>
  <c r="P669" i="34"/>
  <c r="Q547" i="34"/>
  <c r="P547" i="34"/>
  <c r="Q484" i="34"/>
  <c r="P484" i="34"/>
  <c r="Q416" i="34"/>
  <c r="P416" i="34"/>
  <c r="O344" i="34"/>
  <c r="Q704" i="34"/>
  <c r="P704" i="34"/>
  <c r="Q724" i="34"/>
  <c r="P724" i="34"/>
  <c r="Q750" i="34"/>
  <c r="P750" i="34"/>
  <c r="Q785" i="34"/>
  <c r="O785" i="34"/>
  <c r="Q812" i="34"/>
  <c r="P812" i="34"/>
  <c r="P881" i="34"/>
  <c r="Q944" i="34"/>
  <c r="P944" i="34"/>
  <c r="Q977" i="34"/>
  <c r="O977" i="34"/>
  <c r="Q2460" i="34"/>
  <c r="P2460" i="34"/>
  <c r="Q2443" i="34"/>
  <c r="P2443" i="34"/>
  <c r="Q2431" i="34"/>
  <c r="P2431" i="34"/>
  <c r="Q1510" i="34"/>
  <c r="O1510" i="34"/>
  <c r="Q1402" i="34"/>
  <c r="O1402" i="34"/>
  <c r="Q1236" i="34"/>
  <c r="P1236" i="34"/>
  <c r="Q1297" i="34"/>
  <c r="Q1088" i="34"/>
  <c r="P1088" i="34"/>
  <c r="Q1181" i="34"/>
  <c r="O1181" i="34"/>
  <c r="Q962" i="34"/>
  <c r="P962" i="34"/>
  <c r="Q1084" i="34"/>
  <c r="P1084" i="34"/>
  <c r="Q871" i="34"/>
  <c r="O839" i="34"/>
  <c r="Q802" i="34"/>
  <c r="P802" i="34"/>
  <c r="Q739" i="34"/>
  <c r="P739" i="34"/>
  <c r="Q674" i="34"/>
  <c r="P674" i="34"/>
  <c r="Q555" i="34"/>
  <c r="O555" i="34"/>
  <c r="Q492" i="34"/>
  <c r="P492" i="34"/>
  <c r="Q439" i="34"/>
  <c r="P439" i="34"/>
  <c r="Q399" i="34"/>
  <c r="P399" i="34"/>
  <c r="Q348" i="34"/>
  <c r="O334" i="34"/>
  <c r="Q711" i="34"/>
  <c r="P711" i="34"/>
  <c r="Q729" i="34"/>
  <c r="O729" i="34"/>
  <c r="Q756" i="34"/>
  <c r="P756" i="34"/>
  <c r="Q789" i="34"/>
  <c r="O789" i="34"/>
  <c r="O797" i="34"/>
  <c r="P825" i="34"/>
  <c r="Q848" i="34"/>
  <c r="O856" i="34"/>
  <c r="O877" i="34"/>
  <c r="Q877" i="34"/>
  <c r="P885" i="34"/>
  <c r="O885" i="34"/>
  <c r="Q948" i="34"/>
  <c r="P948" i="34"/>
  <c r="P982" i="34"/>
  <c r="Q1001" i="34"/>
  <c r="P1001" i="34"/>
  <c r="Q2662" i="34"/>
  <c r="O2662" i="34"/>
  <c r="Q2642" i="34"/>
  <c r="O2642" i="34"/>
  <c r="Q2650" i="34"/>
  <c r="O2650" i="34"/>
  <c r="Q2658" i="34"/>
  <c r="O2658" i="34"/>
  <c r="Q2436" i="34"/>
  <c r="P2436" i="34"/>
  <c r="Q2444" i="34"/>
  <c r="P2444" i="34"/>
  <c r="Q2452" i="34"/>
  <c r="P2452" i="34"/>
  <c r="Q1523" i="34"/>
  <c r="P1523" i="34"/>
  <c r="Q317" i="34"/>
  <c r="P317" i="34"/>
  <c r="Q2424" i="34"/>
  <c r="P2424" i="34"/>
  <c r="Q2432" i="34"/>
  <c r="P2432" i="34"/>
  <c r="Q1479" i="34"/>
  <c r="P1479" i="34"/>
  <c r="Q1501" i="34"/>
  <c r="P1501" i="34"/>
  <c r="Q1511" i="34"/>
  <c r="P1511" i="34"/>
  <c r="Q1347" i="34"/>
  <c r="P1347" i="34"/>
  <c r="Q1361" i="34"/>
  <c r="P1361" i="34"/>
  <c r="Q1404" i="34"/>
  <c r="P1404" i="34"/>
  <c r="Q1228" i="34"/>
  <c r="P1228" i="34"/>
  <c r="Q1237" i="34"/>
  <c r="O1237" i="34"/>
  <c r="Q1292" i="34"/>
  <c r="O1305" i="34"/>
  <c r="Q1089" i="34"/>
  <c r="O1089" i="34"/>
  <c r="Q1171" i="34"/>
  <c r="P1171" i="34"/>
  <c r="Q1182" i="34"/>
  <c r="P1182" i="34"/>
  <c r="Q934" i="34"/>
  <c r="P934" i="34"/>
  <c r="Q963" i="34"/>
  <c r="P963" i="34"/>
  <c r="Q1018" i="34"/>
  <c r="P1018" i="34"/>
  <c r="Q1024" i="34"/>
  <c r="Q1085" i="34"/>
  <c r="O1085" i="34"/>
  <c r="Q898" i="34"/>
  <c r="P898" i="34"/>
  <c r="Q842" i="34"/>
  <c r="Q838" i="34"/>
  <c r="P838" i="34"/>
  <c r="Q811" i="34"/>
  <c r="P811" i="34"/>
  <c r="Q783" i="34"/>
  <c r="P783" i="34"/>
  <c r="Q768" i="34"/>
  <c r="P768" i="34"/>
  <c r="Q738" i="34"/>
  <c r="P738" i="34"/>
  <c r="Q683" i="34"/>
  <c r="O683" i="34"/>
  <c r="Q673" i="34"/>
  <c r="P673" i="34"/>
  <c r="Q658" i="34"/>
  <c r="P658" i="34"/>
  <c r="Q554" i="34"/>
  <c r="P554" i="34"/>
  <c r="Q537" i="34"/>
  <c r="O537" i="34"/>
  <c r="Q491" i="34"/>
  <c r="P491" i="34"/>
  <c r="Q476" i="34"/>
  <c r="P476" i="34"/>
  <c r="Q438" i="34"/>
  <c r="O438" i="34"/>
  <c r="Q415" i="34"/>
  <c r="P415" i="34"/>
  <c r="Q392" i="34"/>
  <c r="P392" i="34"/>
  <c r="Q347" i="34"/>
  <c r="O343" i="34"/>
  <c r="Q333" i="34"/>
  <c r="Q328" i="34"/>
  <c r="P328" i="34"/>
  <c r="O2569" i="34"/>
  <c r="O1569" i="34"/>
  <c r="O1505" i="34"/>
  <c r="O1393" i="34"/>
  <c r="O1232" i="34"/>
  <c r="P1290" i="34"/>
  <c r="O1176" i="34"/>
  <c r="O956" i="34"/>
  <c r="P322" i="34"/>
  <c r="O808" i="34"/>
  <c r="P765" i="34"/>
  <c r="P678" i="34"/>
  <c r="O582" i="34"/>
  <c r="P498" i="34"/>
  <c r="P458" i="34"/>
  <c r="P394" i="34"/>
  <c r="P344" i="34"/>
  <c r="P330" i="34"/>
  <c r="O715" i="34"/>
  <c r="P733" i="34"/>
  <c r="O760" i="34"/>
  <c r="P793" i="34"/>
  <c r="O820" i="34"/>
  <c r="O844" i="34"/>
  <c r="Q844" i="34"/>
  <c r="P852" i="34"/>
  <c r="O852" i="34"/>
  <c r="P889" i="34"/>
  <c r="O952" i="34"/>
  <c r="O990" i="34"/>
  <c r="O2657" i="34"/>
  <c r="O1549" i="34"/>
  <c r="O1500" i="34"/>
  <c r="O1360" i="34"/>
  <c r="O1227" i="34"/>
  <c r="O1170" i="34"/>
  <c r="P933" i="34"/>
  <c r="O1017" i="34"/>
  <c r="P839" i="34"/>
  <c r="P829" i="34"/>
  <c r="O776" i="34"/>
  <c r="P684" i="34"/>
  <c r="O659" i="34"/>
  <c r="O543" i="34"/>
  <c r="O477" i="34"/>
  <c r="P430" i="34"/>
  <c r="P334" i="34"/>
  <c r="O700" i="34"/>
  <c r="O720" i="34"/>
  <c r="O746" i="34"/>
  <c r="O772" i="34"/>
  <c r="P797" i="34"/>
  <c r="Q825" i="34"/>
  <c r="O825" i="34"/>
  <c r="Q856" i="34"/>
  <c r="P856" i="34"/>
  <c r="Q885" i="34"/>
  <c r="O894" i="34"/>
  <c r="O972" i="34"/>
  <c r="P986" i="34"/>
  <c r="P995" i="34"/>
  <c r="O2213" i="34"/>
  <c r="O2461" i="34"/>
  <c r="P2646" i="34"/>
  <c r="P2654" i="34"/>
  <c r="O2661" i="34"/>
  <c r="O2440" i="34"/>
  <c r="O2448" i="34"/>
  <c r="O2455" i="34"/>
  <c r="P1550" i="34"/>
  <c r="P1570" i="34"/>
  <c r="O2428" i="34"/>
  <c r="O1449" i="34"/>
  <c r="O1497" i="34"/>
  <c r="O1507" i="34"/>
  <c r="O1355" i="34"/>
  <c r="P1394" i="34"/>
  <c r="O1408" i="34"/>
  <c r="P1233" i="34"/>
  <c r="P1305" i="34"/>
  <c r="O1155" i="34"/>
  <c r="P1177" i="34"/>
  <c r="O1186" i="34"/>
  <c r="O958" i="34"/>
  <c r="O1000" i="34"/>
  <c r="P866" i="34"/>
  <c r="P833" i="34"/>
  <c r="P805" i="34"/>
  <c r="O779" i="34"/>
  <c r="O742" i="34"/>
  <c r="P705" i="34"/>
  <c r="P677" i="34"/>
  <c r="O667" i="34"/>
  <c r="P559" i="34"/>
  <c r="O546" i="34"/>
  <c r="O496" i="34"/>
  <c r="O481" i="34"/>
  <c r="P454" i="34"/>
  <c r="O429" i="34"/>
  <c r="P398" i="34"/>
  <c r="P343" i="34"/>
  <c r="P701" i="34"/>
  <c r="O708" i="34"/>
  <c r="Q712" i="34"/>
  <c r="P712" i="34"/>
  <c r="Q721" i="34"/>
  <c r="O721" i="34"/>
  <c r="Q730" i="34"/>
  <c r="P730" i="34"/>
  <c r="Q747" i="34"/>
  <c r="P747" i="34"/>
  <c r="Q757" i="34"/>
  <c r="O757" i="34"/>
  <c r="Q773" i="34"/>
  <c r="O773" i="34"/>
  <c r="Q790" i="34"/>
  <c r="P790" i="34"/>
  <c r="P813" i="34"/>
  <c r="P821" i="34"/>
  <c r="P845" i="34"/>
  <c r="P853" i="34"/>
  <c r="O853" i="34"/>
  <c r="O873" i="34"/>
  <c r="O882" i="34"/>
  <c r="Q882" i="34"/>
  <c r="P886" i="34"/>
  <c r="O886" i="34"/>
  <c r="Q895" i="34"/>
  <c r="P895" i="34"/>
  <c r="Q949" i="34"/>
  <c r="O949" i="34"/>
  <c r="Q973" i="34"/>
  <c r="O973" i="34"/>
  <c r="P983" i="34"/>
  <c r="O996" i="34"/>
  <c r="O2645" i="34"/>
  <c r="O2435" i="34"/>
  <c r="P2458" i="34"/>
  <c r="O1496" i="34"/>
  <c r="Q1333" i="34"/>
  <c r="P2214" i="34"/>
  <c r="O2647" i="34"/>
  <c r="O2437" i="34"/>
  <c r="O2361" i="34"/>
  <c r="O1571" i="34"/>
  <c r="Q2569" i="34"/>
  <c r="P2569" i="34"/>
  <c r="Q1569" i="34"/>
  <c r="P1569" i="34"/>
  <c r="Q1505" i="34"/>
  <c r="P1505" i="34"/>
  <c r="Q1393" i="34"/>
  <c r="P1393" i="34"/>
  <c r="Q1232" i="34"/>
  <c r="P1232" i="34"/>
  <c r="Q1290" i="34"/>
  <c r="P1328" i="34"/>
  <c r="O1328" i="34"/>
  <c r="Q1176" i="34"/>
  <c r="P1176" i="34"/>
  <c r="Q956" i="34"/>
  <c r="P956" i="34"/>
  <c r="O1023" i="34"/>
  <c r="Q322" i="34"/>
  <c r="O322" i="34"/>
  <c r="Q808" i="34"/>
  <c r="P808" i="34"/>
  <c r="Q765" i="34"/>
  <c r="O765" i="34"/>
  <c r="Q678" i="34"/>
  <c r="O678" i="34"/>
  <c r="Q582" i="34"/>
  <c r="P582" i="34"/>
  <c r="Q498" i="34"/>
  <c r="O498" i="34"/>
  <c r="Q458" i="34"/>
  <c r="O458" i="34"/>
  <c r="Q394" i="34"/>
  <c r="O394" i="34"/>
  <c r="Q344" i="34"/>
  <c r="Q330" i="34"/>
  <c r="O330" i="34"/>
  <c r="Q715" i="34"/>
  <c r="P715" i="34"/>
  <c r="Q733" i="34"/>
  <c r="O733" i="34"/>
  <c r="Q760" i="34"/>
  <c r="P760" i="34"/>
  <c r="Q793" i="34"/>
  <c r="O793" i="34"/>
  <c r="Q820" i="34"/>
  <c r="P820" i="34"/>
  <c r="Q852" i="34"/>
  <c r="O864" i="34"/>
  <c r="O881" i="34"/>
  <c r="Q881" i="34"/>
  <c r="Q889" i="34"/>
  <c r="O889" i="34"/>
  <c r="Q952" i="34"/>
  <c r="P952" i="34"/>
  <c r="Q990" i="34"/>
  <c r="P990" i="34"/>
  <c r="Q2657" i="34"/>
  <c r="P2657" i="34"/>
  <c r="Q1549" i="34"/>
  <c r="P1549" i="34"/>
  <c r="Q1500" i="34"/>
  <c r="P1500" i="34"/>
  <c r="Q1360" i="34"/>
  <c r="P1360" i="34"/>
  <c r="Q1227" i="34"/>
  <c r="P1227" i="34"/>
  <c r="O1297" i="34"/>
  <c r="Q1170" i="34"/>
  <c r="P1170" i="34"/>
  <c r="Q933" i="34"/>
  <c r="O933" i="34"/>
  <c r="Q1017" i="34"/>
  <c r="P1017" i="34"/>
  <c r="O871" i="34"/>
  <c r="Q839" i="34"/>
  <c r="Q829" i="34"/>
  <c r="O829" i="34"/>
  <c r="Q776" i="34"/>
  <c r="P776" i="34"/>
  <c r="Q684" i="34"/>
  <c r="O684" i="34"/>
  <c r="Q659" i="34"/>
  <c r="P659" i="34"/>
  <c r="Q543" i="34"/>
  <c r="P543" i="34"/>
  <c r="Q477" i="34"/>
  <c r="P477" i="34"/>
  <c r="Q430" i="34"/>
  <c r="O430" i="34"/>
  <c r="O348" i="34"/>
  <c r="Q334" i="34"/>
  <c r="Q700" i="34"/>
  <c r="P700" i="34"/>
  <c r="Q720" i="34"/>
  <c r="P720" i="34"/>
  <c r="Q746" i="34"/>
  <c r="P746" i="34"/>
  <c r="Q772" i="34"/>
  <c r="P772" i="34"/>
  <c r="Q797" i="34"/>
  <c r="O816" i="34"/>
  <c r="P877" i="34"/>
  <c r="Q894" i="34"/>
  <c r="P894" i="34"/>
  <c r="Q972" i="34"/>
  <c r="P972" i="34"/>
  <c r="Q982" i="34"/>
  <c r="O982" i="34"/>
  <c r="Q995" i="34"/>
  <c r="O995" i="34"/>
  <c r="Q2213" i="34"/>
  <c r="P2213" i="34"/>
  <c r="Q2461" i="34"/>
  <c r="P2461" i="34"/>
  <c r="Q2646" i="34"/>
  <c r="O2646" i="34"/>
  <c r="Q2654" i="34"/>
  <c r="O2654" i="34"/>
  <c r="Q2661" i="34"/>
  <c r="P2661" i="34"/>
  <c r="Q2440" i="34"/>
  <c r="P2440" i="34"/>
  <c r="Q2448" i="34"/>
  <c r="P2448" i="34"/>
  <c r="Q2455" i="34"/>
  <c r="P2455" i="34"/>
  <c r="Q1550" i="34"/>
  <c r="O1550" i="34"/>
  <c r="Q1570" i="34"/>
  <c r="O1570" i="34"/>
  <c r="Q2428" i="34"/>
  <c r="P2428" i="34"/>
  <c r="Q1449" i="34"/>
  <c r="P1449" i="34"/>
  <c r="Q1497" i="34"/>
  <c r="P1497" i="34"/>
  <c r="Q1507" i="34"/>
  <c r="P1507" i="34"/>
  <c r="P1335" i="34"/>
  <c r="O1335" i="34"/>
  <c r="Q1355" i="34"/>
  <c r="P1355" i="34"/>
  <c r="Q1394" i="34"/>
  <c r="O1394" i="34"/>
  <c r="Q1408" i="34"/>
  <c r="P1408" i="34"/>
  <c r="Q1233" i="34"/>
  <c r="O1233" i="34"/>
  <c r="O1292" i="34"/>
  <c r="Q1305" i="34"/>
  <c r="P1329" i="34"/>
  <c r="O1329" i="34"/>
  <c r="Q1155" i="34"/>
  <c r="P1155" i="34"/>
  <c r="Q1177" i="34"/>
  <c r="O1177" i="34"/>
  <c r="Q1186" i="34"/>
  <c r="P1186" i="34"/>
  <c r="Q958" i="34"/>
  <c r="P958" i="34"/>
  <c r="Q1000" i="34"/>
  <c r="P1000" i="34"/>
  <c r="O1024" i="34"/>
  <c r="Q866" i="34"/>
  <c r="O866" i="34"/>
  <c r="O842" i="34"/>
  <c r="Q833" i="34"/>
  <c r="O833" i="34"/>
  <c r="Q805" i="34"/>
  <c r="O2216" i="34"/>
  <c r="O2451" i="34"/>
  <c r="O1471" i="34"/>
  <c r="O1345" i="34"/>
  <c r="O1407" i="34"/>
  <c r="Q1328" i="34"/>
  <c r="O1154" i="34"/>
  <c r="P1185" i="34"/>
  <c r="P999" i="34"/>
  <c r="P1023" i="34"/>
  <c r="O859" i="34"/>
  <c r="O834" i="34"/>
  <c r="O780" i="34"/>
  <c r="O706" i="34"/>
  <c r="O669" i="34"/>
  <c r="O547" i="34"/>
  <c r="O484" i="34"/>
  <c r="O416" i="34"/>
  <c r="O704" i="34"/>
  <c r="O724" i="34"/>
  <c r="O750" i="34"/>
  <c r="P785" i="34"/>
  <c r="O812" i="34"/>
  <c r="P844" i="34"/>
  <c r="Q864" i="34"/>
  <c r="P864" i="34"/>
  <c r="O944" i="34"/>
  <c r="P977" i="34"/>
  <c r="O2460" i="34"/>
  <c r="O2443" i="34"/>
  <c r="O2431" i="34"/>
  <c r="P1510" i="34"/>
  <c r="P1402" i="34"/>
  <c r="O1236" i="34"/>
  <c r="P1297" i="34"/>
  <c r="O1088" i="34"/>
  <c r="P1181" i="34"/>
  <c r="O962" i="34"/>
  <c r="O1084" i="34"/>
  <c r="P871" i="34"/>
  <c r="O802" i="34"/>
  <c r="O739" i="34"/>
  <c r="O674" i="34"/>
  <c r="P555" i="34"/>
  <c r="O492" i="34"/>
  <c r="O439" i="34"/>
  <c r="O399" i="34"/>
  <c r="P348" i="34"/>
  <c r="O711" i="34"/>
  <c r="P729" i="34"/>
  <c r="O756" i="34"/>
  <c r="P789" i="34"/>
  <c r="Q816" i="34"/>
  <c r="P816" i="34"/>
  <c r="P848" i="34"/>
  <c r="O848" i="34"/>
  <c r="O948" i="34"/>
  <c r="Q986" i="34"/>
  <c r="O986" i="34"/>
  <c r="O1001" i="34"/>
  <c r="P2662" i="34"/>
  <c r="P2642" i="34"/>
  <c r="P2650" i="34"/>
  <c r="P2658" i="34"/>
  <c r="O2436" i="34"/>
  <c r="O2444" i="34"/>
  <c r="O2452" i="34"/>
  <c r="O1523" i="34"/>
  <c r="O317" i="34"/>
  <c r="O2424" i="34"/>
  <c r="O2432" i="34"/>
  <c r="O1479" i="34"/>
  <c r="O1501" i="34"/>
  <c r="O1511" i="34"/>
  <c r="Q1335" i="34"/>
  <c r="O1347" i="34"/>
  <c r="O1361" i="34"/>
  <c r="O1404" i="34"/>
  <c r="O1228" i="34"/>
  <c r="P1237" i="34"/>
  <c r="P1292" i="34"/>
  <c r="Q1329" i="34"/>
  <c r="P1089" i="34"/>
  <c r="O1171" i="34"/>
  <c r="O1182" i="34"/>
  <c r="O934" i="34"/>
  <c r="O963" i="34"/>
  <c r="O1018" i="34"/>
  <c r="P1024" i="34"/>
  <c r="P1085" i="34"/>
  <c r="O898" i="34"/>
  <c r="P842" i="34"/>
  <c r="O838" i="34"/>
  <c r="O811" i="34"/>
  <c r="O783" i="34"/>
  <c r="O768" i="34"/>
  <c r="O738" i="34"/>
  <c r="P683" i="34"/>
  <c r="O673" i="34"/>
  <c r="O658" i="34"/>
  <c r="O554" i="34"/>
  <c r="P537" i="34"/>
  <c r="O491" i="34"/>
  <c r="O476" i="34"/>
  <c r="P438" i="34"/>
  <c r="O415" i="34"/>
  <c r="O392" i="34"/>
  <c r="P347" i="34"/>
  <c r="P333" i="34"/>
  <c r="O328" i="34"/>
  <c r="P708" i="34"/>
  <c r="Q716" i="34"/>
  <c r="P716" i="34"/>
  <c r="Q725" i="34"/>
  <c r="O725" i="34"/>
  <c r="Q743" i="34"/>
  <c r="P743" i="34"/>
  <c r="Q751" i="34"/>
  <c r="P751" i="34"/>
  <c r="Q762" i="34"/>
  <c r="P762" i="34"/>
  <c r="Q786" i="34"/>
  <c r="P786" i="34"/>
  <c r="Q794" i="34"/>
  <c r="O798" i="34"/>
  <c r="P817" i="34"/>
  <c r="O826" i="34"/>
  <c r="O845" i="34"/>
  <c r="Q845" i="34"/>
  <c r="P849" i="34"/>
  <c r="O849" i="34"/>
  <c r="Q861" i="34"/>
  <c r="P861" i="34"/>
  <c r="Q873" i="34"/>
  <c r="P882" i="34"/>
  <c r="Q891" i="34"/>
  <c r="P891" i="34"/>
  <c r="Q945" i="34"/>
  <c r="O945" i="34"/>
  <c r="Q953" i="34"/>
  <c r="O953" i="34"/>
  <c r="Q978" i="34"/>
  <c r="P978" i="34"/>
  <c r="Q983" i="34"/>
  <c r="O983" i="34"/>
  <c r="Q987" i="34"/>
  <c r="P991" i="34"/>
  <c r="O1002" i="34"/>
  <c r="O2653" i="34"/>
  <c r="O2447" i="34"/>
  <c r="O2427" i="34"/>
  <c r="P2462" i="34"/>
  <c r="O712" i="34"/>
  <c r="O716" i="34"/>
  <c r="P721" i="34"/>
  <c r="P725" i="34"/>
  <c r="O730" i="34"/>
  <c r="O743" i="34"/>
  <c r="O747" i="34"/>
  <c r="O751" i="34"/>
  <c r="P757" i="34"/>
  <c r="O762" i="34"/>
  <c r="P773" i="34"/>
  <c r="O786" i="34"/>
  <c r="O790" i="34"/>
  <c r="O794" i="34"/>
  <c r="Q817" i="34"/>
  <c r="O821" i="34"/>
  <c r="P878" i="34"/>
  <c r="Q886" i="34"/>
  <c r="Q996" i="34"/>
  <c r="P1002" i="34"/>
  <c r="Q2435" i="34"/>
  <c r="P2447" i="34"/>
  <c r="Q1496" i="34"/>
  <c r="O1333" i="34"/>
  <c r="Q2647" i="34"/>
  <c r="O2655" i="34"/>
  <c r="Q2445" i="34"/>
  <c r="P2445" i="34"/>
  <c r="P1571" i="34"/>
  <c r="Q1450" i="34"/>
  <c r="O1450" i="34"/>
  <c r="Q1508" i="34"/>
  <c r="P1508" i="34"/>
  <c r="Q1356" i="34"/>
  <c r="P1356" i="34"/>
  <c r="Q1229" i="34"/>
  <c r="O1229" i="34"/>
  <c r="Q1288" i="34"/>
  <c r="O1306" i="34"/>
  <c r="Q1173" i="34"/>
  <c r="O1173" i="34"/>
  <c r="Q935" i="34"/>
  <c r="P935" i="34"/>
  <c r="O1021" i="34"/>
  <c r="Q899" i="34"/>
  <c r="P899" i="34"/>
  <c r="Q810" i="34"/>
  <c r="P810" i="34"/>
  <c r="Q767" i="34"/>
  <c r="P767" i="34"/>
  <c r="Q682" i="34"/>
  <c r="O682" i="34"/>
  <c r="Q558" i="34"/>
  <c r="O558" i="34"/>
  <c r="Q490" i="34"/>
  <c r="O490" i="34"/>
  <c r="Q436" i="34"/>
  <c r="P436" i="34"/>
  <c r="Q391" i="34"/>
  <c r="P391" i="34"/>
  <c r="Q342" i="34"/>
  <c r="Q327" i="34"/>
  <c r="P327" i="34"/>
  <c r="O709" i="34"/>
  <c r="O731" i="34"/>
  <c r="O758" i="34"/>
  <c r="O791" i="34"/>
  <c r="O818" i="34"/>
  <c r="P874" i="34"/>
  <c r="P883" i="34"/>
  <c r="Q896" i="34"/>
  <c r="P896" i="34"/>
  <c r="Q974" i="34"/>
  <c r="P974" i="34"/>
  <c r="Q984" i="34"/>
  <c r="O984" i="34"/>
  <c r="O2464" i="34"/>
  <c r="O2439" i="34"/>
  <c r="O307" i="34"/>
  <c r="O1448" i="34"/>
  <c r="O2651" i="34"/>
  <c r="O2433" i="34"/>
  <c r="O2449" i="34"/>
  <c r="O1524" i="34"/>
  <c r="O2425" i="34"/>
  <c r="O1480" i="34"/>
  <c r="O1512" i="34"/>
  <c r="O1363" i="34"/>
  <c r="P1225" i="34"/>
  <c r="Q1331" i="34"/>
  <c r="O1163" i="34"/>
  <c r="O1222" i="34"/>
  <c r="P1015" i="34"/>
  <c r="P1058" i="34"/>
  <c r="O867" i="34"/>
  <c r="P841" i="34"/>
  <c r="O831" i="34"/>
  <c r="O778" i="34"/>
  <c r="O687" i="34"/>
  <c r="O671" i="34"/>
  <c r="O551" i="34"/>
  <c r="O495" i="34"/>
  <c r="O441" i="34"/>
  <c r="O397" i="34"/>
  <c r="P346" i="34"/>
  <c r="P713" i="34"/>
  <c r="O727" i="34"/>
  <c r="O754" i="34"/>
  <c r="O787" i="34"/>
  <c r="Q814" i="34"/>
  <c r="P814" i="34"/>
  <c r="O846" i="34"/>
  <c r="Q862" i="34"/>
  <c r="O862" i="34"/>
  <c r="O946" i="34"/>
  <c r="Q988" i="34"/>
  <c r="O992" i="34"/>
  <c r="O2459" i="34"/>
  <c r="O2644" i="34"/>
  <c r="O2652" i="34"/>
  <c r="O2660" i="34"/>
  <c r="P2438" i="34"/>
  <c r="P2446" i="34"/>
  <c r="O2453" i="34"/>
  <c r="O1525" i="34"/>
  <c r="O1567" i="34"/>
  <c r="P2426" i="34"/>
  <c r="O1447" i="34"/>
  <c r="O1495" i="34"/>
  <c r="O1504" i="34"/>
  <c r="O1349" i="34"/>
  <c r="O1364" i="34"/>
  <c r="P1406" i="34"/>
  <c r="O1230" i="34"/>
  <c r="P1296" i="34"/>
  <c r="O1140" i="34"/>
  <c r="O1174" i="34"/>
  <c r="O1184" i="34"/>
  <c r="O955" i="34"/>
  <c r="P965" i="34"/>
  <c r="P1059" i="34"/>
  <c r="P858" i="34"/>
  <c r="P870" i="34"/>
  <c r="O900" i="34"/>
  <c r="P840" i="34"/>
  <c r="O836" i="34"/>
  <c r="P809" i="34"/>
  <c r="P781" i="34"/>
  <c r="O766" i="34"/>
  <c r="O735" i="34"/>
  <c r="P681" i="34"/>
  <c r="O670" i="34"/>
  <c r="P583" i="34"/>
  <c r="O550" i="34"/>
  <c r="O499" i="34"/>
  <c r="O485" i="34"/>
  <c r="O459" i="34"/>
  <c r="O435" i="34"/>
  <c r="O401" i="34"/>
  <c r="P390" i="34"/>
  <c r="P345" i="34"/>
  <c r="P331" i="34"/>
  <c r="O323" i="34"/>
  <c r="O710" i="34"/>
  <c r="O719" i="34"/>
  <c r="O728" i="34"/>
  <c r="P745" i="34"/>
  <c r="O755" i="34"/>
  <c r="Q788" i="34"/>
  <c r="P788" i="34"/>
  <c r="Q796" i="34"/>
  <c r="O800" i="34"/>
  <c r="O819" i="34"/>
  <c r="O828" i="34"/>
  <c r="Q847" i="34"/>
  <c r="O863" i="34"/>
  <c r="P875" i="34"/>
  <c r="P880" i="34"/>
  <c r="Q888" i="34"/>
  <c r="P888" i="34"/>
  <c r="Q897" i="34"/>
  <c r="O897" i="34"/>
  <c r="Q951" i="34"/>
  <c r="P951" i="34"/>
  <c r="Q976" i="34"/>
  <c r="P976" i="34"/>
  <c r="P985" i="34"/>
  <c r="O998" i="34"/>
  <c r="O341" i="34"/>
  <c r="Q323" i="34"/>
  <c r="Q710" i="34"/>
  <c r="Q719" i="34"/>
  <c r="P719" i="34"/>
  <c r="P728" i="34"/>
  <c r="O745" i="34"/>
  <c r="P755" i="34"/>
  <c r="Q771" i="34"/>
  <c r="O775" i="34"/>
  <c r="O796" i="34"/>
  <c r="Q819" i="34"/>
  <c r="P828" i="34"/>
  <c r="Q863" i="34"/>
  <c r="O947" i="34"/>
  <c r="Q998" i="34"/>
  <c r="O701" i="34"/>
  <c r="P798" i="34"/>
  <c r="Q821" i="34"/>
  <c r="P826" i="34"/>
  <c r="Q849" i="34"/>
  <c r="Q853" i="34"/>
  <c r="P873" i="34"/>
  <c r="O987" i="34"/>
  <c r="Q1002" i="34"/>
  <c r="P2645" i="34"/>
  <c r="Q2447" i="34"/>
  <c r="O2458" i="34"/>
  <c r="P1333" i="34"/>
  <c r="O2214" i="34"/>
  <c r="Q2655" i="34"/>
  <c r="P2655" i="34"/>
  <c r="P2361" i="34"/>
  <c r="Q1571" i="34"/>
  <c r="O2429" i="34"/>
  <c r="P1498" i="34"/>
  <c r="O1405" i="34"/>
  <c r="P1306" i="34"/>
  <c r="P1101" i="34"/>
  <c r="O1183" i="34"/>
  <c r="O964" i="34"/>
  <c r="P1021" i="34"/>
  <c r="O857" i="34"/>
  <c r="P837" i="34"/>
  <c r="O782" i="34"/>
  <c r="O736" i="34"/>
  <c r="O666" i="34"/>
  <c r="O536" i="34"/>
  <c r="O460" i="34"/>
  <c r="P402" i="34"/>
  <c r="P709" i="34"/>
  <c r="Q731" i="34"/>
  <c r="P731" i="34"/>
  <c r="Q758" i="34"/>
  <c r="P758" i="34"/>
  <c r="Q791" i="34"/>
  <c r="P791" i="34"/>
  <c r="Q818" i="34"/>
  <c r="P818" i="34"/>
  <c r="P850" i="34"/>
  <c r="O850" i="34"/>
  <c r="Q874" i="34"/>
  <c r="O950" i="34"/>
  <c r="Q2464" i="34"/>
  <c r="P2464" i="34"/>
  <c r="Q2439" i="34"/>
  <c r="P2439" i="34"/>
  <c r="Q307" i="34"/>
  <c r="P307" i="34"/>
  <c r="Q1448" i="34"/>
  <c r="P1448" i="34"/>
  <c r="P2106" i="34"/>
  <c r="O2106" i="34"/>
  <c r="Q2651" i="34"/>
  <c r="P2651" i="34"/>
  <c r="Q2433" i="34"/>
  <c r="P2433" i="34"/>
  <c r="Q2449" i="34"/>
  <c r="P2449" i="34"/>
  <c r="Q1524" i="34"/>
  <c r="P1524" i="34"/>
  <c r="Q2425" i="34"/>
  <c r="P2425" i="34"/>
  <c r="Q1480" i="34"/>
  <c r="P1480" i="34"/>
  <c r="Q1512" i="34"/>
  <c r="P1512" i="34"/>
  <c r="Q1363" i="34"/>
  <c r="P1363" i="34"/>
  <c r="Q1225" i="34"/>
  <c r="O1225" i="34"/>
  <c r="O1293" i="34"/>
  <c r="Q1163" i="34"/>
  <c r="P1163" i="34"/>
  <c r="Q1222" i="34"/>
  <c r="P1222" i="34"/>
  <c r="Q1015" i="34"/>
  <c r="O1015" i="34"/>
  <c r="Q1058" i="34"/>
  <c r="Q867" i="34"/>
  <c r="P867" i="34"/>
  <c r="Q841" i="34"/>
  <c r="Q831" i="34"/>
  <c r="P831" i="34"/>
  <c r="Q778" i="34"/>
  <c r="P778" i="34"/>
  <c r="Q687" i="34"/>
  <c r="P687" i="34"/>
  <c r="Q671" i="34"/>
  <c r="P671" i="34"/>
  <c r="Q551" i="34"/>
  <c r="P551" i="34"/>
  <c r="Q495" i="34"/>
  <c r="P495" i="34"/>
  <c r="Q441" i="34"/>
  <c r="P441" i="34"/>
  <c r="Q397" i="34"/>
  <c r="P397" i="34"/>
  <c r="Q346" i="34"/>
  <c r="O332" i="34"/>
  <c r="Q713" i="34"/>
  <c r="O713" i="34"/>
  <c r="Q727" i="34"/>
  <c r="P727" i="34"/>
  <c r="Q754" i="34"/>
  <c r="P754" i="34"/>
  <c r="Q787" i="34"/>
  <c r="P787" i="34"/>
  <c r="P795" i="34"/>
  <c r="O823" i="34"/>
  <c r="P846" i="34"/>
  <c r="P879" i="34"/>
  <c r="Q946" i="34"/>
  <c r="P946" i="34"/>
  <c r="Q979" i="34"/>
  <c r="P979" i="34"/>
  <c r="Q992" i="34"/>
  <c r="P992" i="34"/>
  <c r="Q2459" i="34"/>
  <c r="P2459" i="34"/>
  <c r="Q2644" i="34"/>
  <c r="P2644" i="34"/>
  <c r="Q2652" i="34"/>
  <c r="P2652" i="34"/>
  <c r="Q2660" i="34"/>
  <c r="P2660" i="34"/>
  <c r="Q2438" i="34"/>
  <c r="O2438" i="34"/>
  <c r="Q2446" i="34"/>
  <c r="O2446" i="34"/>
  <c r="Q2453" i="34"/>
  <c r="P2453" i="34"/>
  <c r="Q1525" i="34"/>
  <c r="P1525" i="34"/>
  <c r="Q1567" i="34"/>
  <c r="P1567" i="34"/>
  <c r="Q2426" i="34"/>
  <c r="O2426" i="34"/>
  <c r="Q1447" i="34"/>
  <c r="P1447" i="34"/>
  <c r="Q1495" i="34"/>
  <c r="P1495" i="34"/>
  <c r="Q1504" i="34"/>
  <c r="P1504" i="34"/>
  <c r="P1332" i="34"/>
  <c r="O1332" i="34"/>
  <c r="Q1349" i="34"/>
  <c r="P1349" i="34"/>
  <c r="Q1364" i="34"/>
  <c r="P1364" i="34"/>
  <c r="Q1406" i="34"/>
  <c r="O1406" i="34"/>
  <c r="Q1230" i="34"/>
  <c r="P1230" i="34"/>
  <c r="O1289" i="34"/>
  <c r="Q1296" i="34"/>
  <c r="O1316" i="34"/>
  <c r="Q1140" i="34"/>
  <c r="P1140" i="34"/>
  <c r="Q1174" i="34"/>
  <c r="P1174" i="34"/>
  <c r="Q1184" i="34"/>
  <c r="P1184" i="34"/>
  <c r="Q955" i="34"/>
  <c r="P955" i="34"/>
  <c r="Q965" i="34"/>
  <c r="O965" i="34"/>
  <c r="O1022" i="34"/>
  <c r="Q1059" i="34"/>
  <c r="Q858" i="34"/>
  <c r="O858" i="34"/>
  <c r="Q870" i="34"/>
  <c r="Q900" i="34"/>
  <c r="P900" i="34"/>
  <c r="Q840" i="34"/>
  <c r="Q836" i="34"/>
  <c r="P836" i="34"/>
  <c r="Q809" i="34"/>
  <c r="O809" i="34"/>
  <c r="Q781" i="34"/>
  <c r="O781" i="34"/>
  <c r="Q766" i="34"/>
  <c r="P766" i="34"/>
  <c r="Q735" i="34"/>
  <c r="P735" i="34"/>
  <c r="Q681" i="34"/>
  <c r="O681" i="34"/>
  <c r="Q670" i="34"/>
  <c r="P670" i="34"/>
  <c r="Q583" i="34"/>
  <c r="O583" i="34"/>
  <c r="Q550" i="34"/>
  <c r="P550" i="34"/>
  <c r="Q499" i="34"/>
  <c r="P499" i="34"/>
  <c r="Q485" i="34"/>
  <c r="P485" i="34"/>
  <c r="Q459" i="34"/>
  <c r="P459" i="34"/>
  <c r="Q435" i="34"/>
  <c r="P435" i="34"/>
  <c r="Q401" i="34"/>
  <c r="P401" i="34"/>
  <c r="Q390" i="34"/>
  <c r="O390" i="34"/>
  <c r="Q345" i="34"/>
  <c r="Q331" i="34"/>
  <c r="P323" i="34"/>
  <c r="P710" i="34"/>
  <c r="Q745" i="34"/>
  <c r="Q755" i="34"/>
  <c r="O771" i="34"/>
  <c r="O851" i="34"/>
  <c r="P989" i="34"/>
  <c r="O805" i="34"/>
  <c r="P779" i="34"/>
  <c r="P742" i="34"/>
  <c r="O705" i="34"/>
  <c r="O677" i="34"/>
  <c r="P667" i="34"/>
  <c r="O559" i="34"/>
  <c r="P546" i="34"/>
  <c r="P496" i="34"/>
  <c r="P481" i="34"/>
  <c r="O454" i="34"/>
  <c r="P429" i="34"/>
  <c r="O398" i="34"/>
  <c r="Q701" i="34"/>
  <c r="P794" i="34"/>
  <c r="Q798" i="34"/>
  <c r="O813" i="34"/>
  <c r="Q826" i="34"/>
  <c r="O878" i="34"/>
  <c r="Q878" i="34"/>
  <c r="O891" i="34"/>
  <c r="O895" i="34"/>
  <c r="P945" i="34"/>
  <c r="P949" i="34"/>
  <c r="P953" i="34"/>
  <c r="P973" i="34"/>
  <c r="O978" i="34"/>
  <c r="P987" i="34"/>
  <c r="O991" i="34"/>
  <c r="Q2645" i="34"/>
  <c r="P2653" i="34"/>
  <c r="Q2458" i="34"/>
  <c r="P2427" i="34"/>
  <c r="Q2214" i="34"/>
  <c r="O2462" i="34"/>
  <c r="P2437" i="34"/>
  <c r="Q2361" i="34"/>
  <c r="O1565" i="34"/>
  <c r="Q2429" i="34"/>
  <c r="P2429" i="34"/>
  <c r="Q1498" i="34"/>
  <c r="O1498" i="34"/>
  <c r="P1336" i="34"/>
  <c r="O1336" i="34"/>
  <c r="Q1405" i="34"/>
  <c r="P1405" i="34"/>
  <c r="O1288" i="34"/>
  <c r="Q1306" i="34"/>
  <c r="Q1101" i="34"/>
  <c r="O1101" i="34"/>
  <c r="Q1183" i="34"/>
  <c r="P1183" i="34"/>
  <c r="Q964" i="34"/>
  <c r="P964" i="34"/>
  <c r="Q1021" i="34"/>
  <c r="Q857" i="34"/>
  <c r="P857" i="34"/>
  <c r="Q837" i="34"/>
  <c r="O837" i="34"/>
  <c r="Q782" i="34"/>
  <c r="P782" i="34"/>
  <c r="Q736" i="34"/>
  <c r="P736" i="34"/>
  <c r="Q666" i="34"/>
  <c r="P666" i="34"/>
  <c r="Q536" i="34"/>
  <c r="P536" i="34"/>
  <c r="Q460" i="34"/>
  <c r="P460" i="34"/>
  <c r="Q402" i="34"/>
  <c r="O402" i="34"/>
  <c r="O342" i="34"/>
  <c r="Q709" i="34"/>
  <c r="P717" i="34"/>
  <c r="O748" i="34"/>
  <c r="O774" i="34"/>
  <c r="O799" i="34"/>
  <c r="O827" i="34"/>
  <c r="Q850" i="34"/>
  <c r="O883" i="34"/>
  <c r="Q883" i="34"/>
  <c r="P887" i="34"/>
  <c r="O887" i="34"/>
  <c r="Q950" i="34"/>
  <c r="P950" i="34"/>
  <c r="P984" i="34"/>
  <c r="O997" i="34"/>
  <c r="O2649" i="34"/>
  <c r="P2454" i="34"/>
  <c r="O2423" i="34"/>
  <c r="P1350" i="34"/>
  <c r="Q2106" i="34"/>
  <c r="O2643" i="34"/>
  <c r="O2659" i="34"/>
  <c r="O2441" i="34"/>
  <c r="O2456" i="34"/>
  <c r="O319" i="34"/>
  <c r="P1446" i="34"/>
  <c r="O1503" i="34"/>
  <c r="O1348" i="34"/>
  <c r="O1400" i="34"/>
  <c r="O1234" i="34"/>
  <c r="P1293" i="34"/>
  <c r="O1178" i="34"/>
  <c r="O959" i="34"/>
  <c r="O804" i="34"/>
  <c r="P741" i="34"/>
  <c r="P676" i="34"/>
  <c r="O584" i="34"/>
  <c r="O545" i="34"/>
  <c r="O480" i="34"/>
  <c r="P418" i="34"/>
  <c r="P332" i="34"/>
  <c r="O702" i="34"/>
  <c r="O722" i="34"/>
  <c r="O744" i="34"/>
  <c r="O763" i="34"/>
  <c r="Q823" i="34"/>
  <c r="P823" i="34"/>
  <c r="Q846" i="34"/>
  <c r="P854" i="34"/>
  <c r="O854" i="34"/>
  <c r="O892" i="34"/>
  <c r="O967" i="34"/>
  <c r="O2215" i="34"/>
  <c r="O2463" i="34"/>
  <c r="O2648" i="34"/>
  <c r="O2656" i="34"/>
  <c r="P2434" i="34"/>
  <c r="P2442" i="34"/>
  <c r="P2450" i="34"/>
  <c r="O2457" i="34"/>
  <c r="P1566" i="34"/>
  <c r="O1572" i="34"/>
  <c r="P2430" i="34"/>
  <c r="P1470" i="34"/>
  <c r="O1499" i="34"/>
  <c r="O1509" i="34"/>
  <c r="Q1332" i="34"/>
  <c r="O1344" i="34"/>
  <c r="O1359" i="34"/>
  <c r="O1401" i="34"/>
  <c r="O1226" i="34"/>
  <c r="O1235" i="34"/>
  <c r="P1289" i="34"/>
  <c r="P1316" i="34"/>
  <c r="O1087" i="34"/>
  <c r="O1164" i="34"/>
  <c r="O1179" i="34"/>
  <c r="O1223" i="34"/>
  <c r="P961" i="34"/>
  <c r="O1016" i="34"/>
  <c r="P1022" i="34"/>
  <c r="O830" i="34"/>
  <c r="O803" i="34"/>
  <c r="P777" i="34"/>
  <c r="O740" i="34"/>
  <c r="O686" i="34"/>
  <c r="P675" i="34"/>
  <c r="O660" i="34"/>
  <c r="P556" i="34"/>
  <c r="O544" i="34"/>
  <c r="P494" i="34"/>
  <c r="P478" i="34"/>
  <c r="O440" i="34"/>
  <c r="O417" i="34"/>
  <c r="O395" i="34"/>
  <c r="P341" i="34"/>
  <c r="O703" i="34"/>
  <c r="O714" i="34"/>
  <c r="O723" i="34"/>
  <c r="O732" i="34"/>
  <c r="P749" i="34"/>
  <c r="O759" i="34"/>
  <c r="Q775" i="34"/>
  <c r="P775" i="34"/>
  <c r="Q792" i="34"/>
  <c r="P792" i="34"/>
  <c r="O815" i="34"/>
  <c r="O824" i="34"/>
  <c r="Q851" i="34"/>
  <c r="O855" i="34"/>
  <c r="O880" i="34"/>
  <c r="Q880" i="34"/>
  <c r="P884" i="34"/>
  <c r="O884" i="34"/>
  <c r="Q893" i="34"/>
  <c r="O893" i="34"/>
  <c r="Q947" i="34"/>
  <c r="P947" i="34"/>
  <c r="Q968" i="34"/>
  <c r="P968" i="34"/>
  <c r="P980" i="34"/>
  <c r="O980" i="34"/>
  <c r="Q985" i="34"/>
  <c r="O985" i="34"/>
  <c r="Q989" i="34"/>
  <c r="O994" i="34"/>
  <c r="O951" i="34"/>
  <c r="O976" i="34"/>
  <c r="Q994" i="34"/>
  <c r="Q728" i="34"/>
  <c r="O792" i="34"/>
  <c r="Q800" i="34"/>
  <c r="P819" i="34"/>
  <c r="P851" i="34"/>
  <c r="Q875" i="34"/>
  <c r="O968" i="34"/>
  <c r="O989" i="34"/>
  <c r="Q779" i="34"/>
  <c r="Q742" i="34"/>
  <c r="Q705" i="34"/>
  <c r="Q677" i="34"/>
  <c r="Q667" i="34"/>
  <c r="Q559" i="34"/>
  <c r="Q546" i="34"/>
  <c r="Q496" i="34"/>
  <c r="Q481" i="34"/>
  <c r="Q454" i="34"/>
  <c r="Q429" i="34"/>
  <c r="Q398" i="34"/>
  <c r="O347" i="34"/>
  <c r="Q343" i="34"/>
  <c r="O333" i="34"/>
  <c r="Q708" i="34"/>
  <c r="Q813" i="34"/>
  <c r="O817" i="34"/>
  <c r="O861" i="34"/>
  <c r="Q991" i="34"/>
  <c r="P996" i="34"/>
  <c r="Q2653" i="34"/>
  <c r="P2435" i="34"/>
  <c r="Q2427" i="34"/>
  <c r="P1496" i="34"/>
  <c r="Q2462" i="34"/>
  <c r="P2647" i="34"/>
  <c r="Q2437" i="34"/>
  <c r="O2445" i="34"/>
  <c r="Q1565" i="34"/>
  <c r="P1565" i="34"/>
  <c r="P1450" i="34"/>
  <c r="O1508" i="34"/>
  <c r="Q1336" i="34"/>
  <c r="O1356" i="34"/>
  <c r="P1229" i="34"/>
  <c r="P1288" i="34"/>
  <c r="P1173" i="34"/>
  <c r="O935" i="34"/>
  <c r="O899" i="34"/>
  <c r="O810" i="34"/>
  <c r="O767" i="34"/>
  <c r="P682" i="34"/>
  <c r="P558" i="34"/>
  <c r="P490" i="34"/>
  <c r="O436" i="34"/>
  <c r="O391" i="34"/>
  <c r="P342" i="34"/>
  <c r="O327" i="34"/>
  <c r="Q717" i="34"/>
  <c r="O717" i="34"/>
  <c r="Q748" i="34"/>
  <c r="P748" i="34"/>
  <c r="Q774" i="34"/>
  <c r="P774" i="34"/>
  <c r="Q799" i="34"/>
  <c r="P799" i="34"/>
  <c r="Q827" i="34"/>
  <c r="P827" i="34"/>
  <c r="O874" i="34"/>
  <c r="Q887" i="34"/>
  <c r="O896" i="34"/>
  <c r="O974" i="34"/>
  <c r="Q997" i="34"/>
  <c r="P997" i="34"/>
  <c r="Q2649" i="34"/>
  <c r="P2649" i="34"/>
  <c r="Q2454" i="34"/>
  <c r="O2454" i="34"/>
  <c r="Q2423" i="34"/>
  <c r="P2423" i="34"/>
  <c r="Q1350" i="34"/>
  <c r="O1350" i="34"/>
  <c r="Q2643" i="34"/>
  <c r="P2643" i="34"/>
  <c r="Q2659" i="34"/>
  <c r="P2659" i="34"/>
  <c r="Q2441" i="34"/>
  <c r="P2441" i="34"/>
  <c r="Q2456" i="34"/>
  <c r="P2456" i="34"/>
  <c r="Q319" i="34"/>
  <c r="P319" i="34"/>
  <c r="Q1446" i="34"/>
  <c r="O1446" i="34"/>
  <c r="Q1503" i="34"/>
  <c r="P1503" i="34"/>
  <c r="Q1348" i="34"/>
  <c r="P1348" i="34"/>
  <c r="Q1400" i="34"/>
  <c r="P1400" i="34"/>
  <c r="Q1234" i="34"/>
  <c r="P1234" i="34"/>
  <c r="Q1293" i="34"/>
  <c r="P1331" i="34"/>
  <c r="O1331" i="34"/>
  <c r="Q1178" i="34"/>
  <c r="P1178" i="34"/>
  <c r="Q959" i="34"/>
  <c r="P959" i="34"/>
  <c r="O1058" i="34"/>
  <c r="O841" i="34"/>
  <c r="Q804" i="34"/>
  <c r="P804" i="34"/>
  <c r="Q741" i="34"/>
  <c r="O741" i="34"/>
  <c r="Q676" i="34"/>
  <c r="O676" i="34"/>
  <c r="Q584" i="34"/>
  <c r="P584" i="34"/>
  <c r="Q545" i="34"/>
  <c r="P545" i="34"/>
  <c r="Q480" i="34"/>
  <c r="P480" i="34"/>
  <c r="Q418" i="34"/>
  <c r="O418" i="34"/>
  <c r="O346" i="34"/>
  <c r="Q332" i="34"/>
  <c r="Q702" i="34"/>
  <c r="P702" i="34"/>
  <c r="Q722" i="34"/>
  <c r="P722" i="34"/>
  <c r="Q744" i="34"/>
  <c r="P744" i="34"/>
  <c r="Q763" i="34"/>
  <c r="P763" i="34"/>
  <c r="Q795" i="34"/>
  <c r="O795" i="34"/>
  <c r="O814" i="34"/>
  <c r="Q854" i="34"/>
  <c r="P862" i="34"/>
  <c r="O879" i="34"/>
  <c r="Q879" i="34"/>
  <c r="Q892" i="34"/>
  <c r="P892" i="34"/>
  <c r="Q967" i="34"/>
  <c r="P967" i="34"/>
  <c r="O979" i="34"/>
  <c r="P988" i="34"/>
  <c r="O988" i="34"/>
  <c r="Q2215" i="34"/>
  <c r="P2215" i="34"/>
  <c r="Q2463" i="34"/>
  <c r="P2463" i="34"/>
  <c r="Q2648" i="34"/>
  <c r="P2648" i="34"/>
  <c r="Q2656" i="34"/>
  <c r="P2656" i="34"/>
  <c r="Q2434" i="34"/>
  <c r="O2434" i="34"/>
  <c r="Q2442" i="34"/>
  <c r="O2442" i="34"/>
  <c r="Q2450" i="34"/>
  <c r="O2450" i="34"/>
  <c r="Q2457" i="34"/>
  <c r="P2457" i="34"/>
  <c r="Q1566" i="34"/>
  <c r="O1566" i="34"/>
  <c r="Q1572" i="34"/>
  <c r="P1572" i="34"/>
  <c r="Q2430" i="34"/>
  <c r="O2430" i="34"/>
  <c r="Q1470" i="34"/>
  <c r="O1470" i="34"/>
  <c r="Q1499" i="34"/>
  <c r="P1499" i="34"/>
  <c r="Q1509" i="34"/>
  <c r="P1509" i="34"/>
  <c r="Q1344" i="34"/>
  <c r="P1344" i="34"/>
  <c r="Q1359" i="34"/>
  <c r="P1359" i="34"/>
  <c r="Q1401" i="34"/>
  <c r="P1401" i="34"/>
  <c r="Q1226" i="34"/>
  <c r="P1226" i="34"/>
  <c r="Q1235" i="34"/>
  <c r="P1235" i="34"/>
  <c r="Q1289" i="34"/>
  <c r="O1296" i="34"/>
  <c r="Q1316" i="34"/>
  <c r="Q1087" i="34"/>
  <c r="P1087" i="34"/>
  <c r="Q1164" i="34"/>
  <c r="P1164" i="34"/>
  <c r="Q1179" i="34"/>
  <c r="P1179" i="34"/>
  <c r="Q1223" i="34"/>
  <c r="P1223" i="34"/>
  <c r="Q961" i="34"/>
  <c r="O961" i="34"/>
  <c r="Q1016" i="34"/>
  <c r="P1016" i="34"/>
  <c r="Q1022" i="34"/>
  <c r="O1059" i="34"/>
  <c r="O870" i="34"/>
  <c r="O840" i="34"/>
  <c r="Q830" i="34"/>
  <c r="P830" i="34"/>
  <c r="Q803" i="34"/>
  <c r="P803" i="34"/>
  <c r="Q777" i="34"/>
  <c r="O777" i="34"/>
  <c r="Q740" i="34"/>
  <c r="P740" i="34"/>
  <c r="Q686" i="34"/>
  <c r="P686" i="34"/>
  <c r="Q675" i="34"/>
  <c r="O675" i="34"/>
  <c r="Q660" i="34"/>
  <c r="P660" i="34"/>
  <c r="Q556" i="34"/>
  <c r="O556" i="34"/>
  <c r="Q544" i="34"/>
  <c r="P544" i="34"/>
  <c r="Q494" i="34"/>
  <c r="O494" i="34"/>
  <c r="Q478" i="34"/>
  <c r="O478" i="34"/>
  <c r="Q440" i="34"/>
  <c r="P440" i="34"/>
  <c r="Q417" i="34"/>
  <c r="P417" i="34"/>
  <c r="Q395" i="34"/>
  <c r="P395" i="34"/>
  <c r="O345" i="34"/>
  <c r="Q341" i="34"/>
  <c r="O331" i="34"/>
  <c r="Q703" i="34"/>
  <c r="P703" i="34"/>
  <c r="Q714" i="34"/>
  <c r="P714" i="34"/>
  <c r="Q723" i="34"/>
  <c r="P723" i="34"/>
  <c r="Q732" i="34"/>
  <c r="P732" i="34"/>
  <c r="Q749" i="34"/>
  <c r="O749" i="34"/>
  <c r="Q759" i="34"/>
  <c r="P759" i="34"/>
  <c r="P771" i="34"/>
  <c r="O788" i="34"/>
  <c r="P796" i="34"/>
  <c r="Q815" i="34"/>
  <c r="P815" i="34"/>
  <c r="Q824" i="34"/>
  <c r="P824" i="34"/>
  <c r="P847" i="34"/>
  <c r="O847" i="34"/>
  <c r="Q855" i="34"/>
  <c r="P855" i="34"/>
  <c r="O875" i="34"/>
  <c r="Q884" i="34"/>
  <c r="O888" i="34"/>
  <c r="P897" i="34"/>
  <c r="Q980" i="34"/>
  <c r="P994" i="34"/>
  <c r="P800" i="34"/>
  <c r="Q828" i="34"/>
  <c r="P863" i="34"/>
  <c r="P893" i="34"/>
  <c r="P998" i="34"/>
  <c r="Q305" i="34"/>
  <c r="P305" i="34"/>
  <c r="P664" i="34"/>
  <c r="P679" i="34"/>
  <c r="O326" i="34"/>
  <c r="O275" i="34"/>
  <c r="O267" i="34"/>
  <c r="Q353" i="34"/>
  <c r="Q642" i="34"/>
  <c r="P642" i="34"/>
  <c r="Q633" i="34"/>
  <c r="P633" i="34"/>
  <c r="Q625" i="34"/>
  <c r="P625" i="34"/>
  <c r="Q268" i="34"/>
  <c r="P268" i="34"/>
  <c r="Q639" i="34"/>
  <c r="P639" i="34"/>
  <c r="Q278" i="34"/>
  <c r="O278" i="34"/>
  <c r="O339" i="34"/>
  <c r="Q339" i="34"/>
  <c r="O641" i="34"/>
  <c r="O276" i="34"/>
  <c r="O630" i="34"/>
  <c r="O325" i="34"/>
  <c r="Q274" i="34"/>
  <c r="O274" i="34"/>
  <c r="Q259" i="34"/>
  <c r="P259" i="34"/>
  <c r="Q352" i="34"/>
  <c r="Q637" i="34"/>
  <c r="P637" i="34"/>
  <c r="Q624" i="34"/>
  <c r="P624" i="34"/>
  <c r="Q318" i="34"/>
  <c r="O277" i="34"/>
  <c r="O269" i="34"/>
  <c r="P258" i="34"/>
  <c r="P351" i="34"/>
  <c r="Q636" i="34"/>
  <c r="P636" i="34"/>
  <c r="Q627" i="34"/>
  <c r="P627" i="34"/>
  <c r="P691" i="34"/>
  <c r="O350" i="34"/>
  <c r="Q679" i="34"/>
  <c r="P326" i="34"/>
  <c r="Q275" i="34"/>
  <c r="P275" i="34"/>
  <c r="Q267" i="34"/>
  <c r="P267" i="34"/>
  <c r="O340" i="34"/>
  <c r="Q340" i="34"/>
  <c r="O638" i="34"/>
  <c r="O629" i="34"/>
  <c r="O699" i="34"/>
  <c r="O257" i="34"/>
  <c r="O626" i="34"/>
  <c r="P266" i="34"/>
  <c r="Q641" i="34"/>
  <c r="P641" i="34"/>
  <c r="Q276" i="34"/>
  <c r="P276" i="34"/>
  <c r="Q630" i="34"/>
  <c r="P630" i="34"/>
  <c r="P270" i="34"/>
  <c r="O632" i="34"/>
  <c r="O698" i="34"/>
  <c r="Q277" i="34"/>
  <c r="P277" i="34"/>
  <c r="Q269" i="34"/>
  <c r="P269" i="34"/>
  <c r="Q258" i="34"/>
  <c r="O258" i="34"/>
  <c r="Q351" i="34"/>
  <c r="Q665" i="34"/>
  <c r="O665" i="34"/>
  <c r="O640" i="34"/>
  <c r="O631" i="34"/>
  <c r="Q691" i="34"/>
  <c r="Q664" i="34"/>
  <c r="O664" i="34"/>
  <c r="O272" i="34"/>
  <c r="P350" i="34"/>
  <c r="O634" i="34"/>
  <c r="O679" i="34"/>
  <c r="Q326" i="34"/>
  <c r="O304" i="34"/>
  <c r="O271" i="34"/>
  <c r="O260" i="34"/>
  <c r="O353" i="34"/>
  <c r="Q638" i="34"/>
  <c r="P638" i="34"/>
  <c r="Q629" i="34"/>
  <c r="P629" i="34"/>
  <c r="Q699" i="34"/>
  <c r="P699" i="34"/>
  <c r="Q257" i="34"/>
  <c r="P257" i="34"/>
  <c r="Q626" i="34"/>
  <c r="P626" i="34"/>
  <c r="Q266" i="34"/>
  <c r="O266" i="34"/>
  <c r="P339" i="34"/>
  <c r="O628" i="34"/>
  <c r="O264" i="34"/>
  <c r="P325" i="34"/>
  <c r="Q270" i="34"/>
  <c r="O270" i="34"/>
  <c r="O352" i="34"/>
  <c r="Q632" i="34"/>
  <c r="P632" i="34"/>
  <c r="O624" i="34"/>
  <c r="Q698" i="34"/>
  <c r="P698" i="34"/>
  <c r="O318" i="34"/>
  <c r="O273" i="34"/>
  <c r="O265" i="34"/>
  <c r="Q640" i="34"/>
  <c r="P640" i="34"/>
  <c r="Q631" i="34"/>
  <c r="P631" i="34"/>
  <c r="O691" i="34"/>
  <c r="O305" i="34"/>
  <c r="Q272" i="34"/>
  <c r="P272" i="34"/>
  <c r="Q350" i="34"/>
  <c r="Q634" i="34"/>
  <c r="P634" i="34"/>
  <c r="Q304" i="34"/>
  <c r="P304" i="34"/>
  <c r="Q271" i="34"/>
  <c r="P271" i="34"/>
  <c r="Q260" i="34"/>
  <c r="P260" i="34"/>
  <c r="P340" i="34"/>
  <c r="P353" i="34"/>
  <c r="O642" i="34"/>
  <c r="O633" i="34"/>
  <c r="O625" i="34"/>
  <c r="O268" i="34"/>
  <c r="O639" i="34"/>
  <c r="P278" i="34"/>
  <c r="Q628" i="34"/>
  <c r="P628" i="34"/>
  <c r="Q264" i="34"/>
  <c r="P264" i="34"/>
  <c r="Q325" i="34"/>
  <c r="P274" i="34"/>
  <c r="O259" i="34"/>
  <c r="P352" i="34"/>
  <c r="O637" i="34"/>
  <c r="P318" i="34"/>
  <c r="Q273" i="34"/>
  <c r="P273" i="34"/>
  <c r="Q265" i="34"/>
  <c r="P265" i="34"/>
  <c r="O351" i="34"/>
  <c r="P665" i="34"/>
  <c r="O636" i="34"/>
  <c r="O627" i="34"/>
  <c r="Q1423" i="34"/>
  <c r="P1423" i="34"/>
  <c r="Q1397" i="34"/>
  <c r="P1397" i="34"/>
  <c r="Q1418" i="34"/>
  <c r="O1483" i="34"/>
  <c r="Q1474" i="34"/>
  <c r="O1464" i="34"/>
  <c r="P1474" i="34"/>
  <c r="Q1483" i="34"/>
  <c r="P1483" i="34"/>
  <c r="O1418" i="34"/>
  <c r="Q1464" i="34"/>
  <c r="P1464" i="34"/>
  <c r="O1474" i="34"/>
  <c r="O1423" i="34"/>
  <c r="O1397" i="34"/>
  <c r="P1418" i="34"/>
  <c r="Q1354" i="34"/>
  <c r="O1354" i="34"/>
  <c r="Q1287" i="34"/>
  <c r="O1300" i="34"/>
  <c r="O1287" i="34"/>
  <c r="P1300" i="34"/>
  <c r="Q1300" i="34"/>
  <c r="P1354" i="34"/>
  <c r="P1287" i="34"/>
  <c r="Q403" i="34"/>
  <c r="P403" i="34"/>
  <c r="O368" i="34"/>
  <c r="Q28" i="34"/>
  <c r="O28" i="34"/>
  <c r="Q174" i="34"/>
  <c r="P174" i="34"/>
  <c r="Q95" i="34"/>
  <c r="Q524" i="34"/>
  <c r="Q57" i="34"/>
  <c r="O95" i="34"/>
  <c r="P368" i="34"/>
  <c r="O524" i="34"/>
  <c r="O383" i="34"/>
  <c r="P383" i="34"/>
  <c r="P54" i="34"/>
  <c r="O57" i="34"/>
  <c r="Q368" i="34"/>
  <c r="P524" i="34"/>
  <c r="Q383" i="34"/>
  <c r="O403" i="34"/>
  <c r="Q54" i="34"/>
  <c r="O54" i="34"/>
  <c r="O174" i="34"/>
  <c r="P95" i="34"/>
  <c r="P28" i="34"/>
  <c r="P57" i="34"/>
  <c r="P1038" i="34"/>
  <c r="Q1030" i="34"/>
  <c r="O1034" i="34"/>
  <c r="Q1034" i="34"/>
  <c r="O1038" i="34"/>
  <c r="Q1038" i="34"/>
  <c r="O1030" i="34"/>
  <c r="P1034" i="34"/>
  <c r="P1030" i="34"/>
  <c r="Q44" i="34"/>
  <c r="P44" i="34"/>
  <c r="Q200" i="34"/>
  <c r="P200" i="34"/>
  <c r="Q1650" i="34"/>
  <c r="O1650" i="34"/>
  <c r="O1672" i="34"/>
  <c r="Q1672" i="34"/>
  <c r="O1712" i="34"/>
  <c r="Q1519" i="34"/>
  <c r="P1519" i="34"/>
  <c r="P1531" i="34"/>
  <c r="Q1535" i="34"/>
  <c r="O1539" i="34"/>
  <c r="P1543" i="34"/>
  <c r="Q1553" i="34"/>
  <c r="P1557" i="34"/>
  <c r="O1577" i="34"/>
  <c r="Q1581" i="34"/>
  <c r="P1581" i="34"/>
  <c r="P1588" i="34"/>
  <c r="P1676" i="34"/>
  <c r="O1608" i="34"/>
  <c r="P1625" i="34"/>
  <c r="O1634" i="34"/>
  <c r="O1671" i="34"/>
  <c r="Q1671" i="34"/>
  <c r="P1710" i="34"/>
  <c r="Q1717" i="34"/>
  <c r="O1727" i="34"/>
  <c r="P1776" i="34"/>
  <c r="O1776" i="34"/>
  <c r="O1395" i="34"/>
  <c r="O1409" i="34"/>
  <c r="Q1413" i="34"/>
  <c r="P1413" i="34"/>
  <c r="O1427" i="34"/>
  <c r="P1437" i="34"/>
  <c r="Q1445" i="34"/>
  <c r="P1445" i="34"/>
  <c r="Q1462" i="34"/>
  <c r="O1467" i="34"/>
  <c r="O1301" i="34"/>
  <c r="P1321" i="34"/>
  <c r="O1339" i="34"/>
  <c r="P1366" i="34"/>
  <c r="Q1375" i="34"/>
  <c r="P1375" i="34"/>
  <c r="P1380" i="34"/>
  <c r="O1389" i="34"/>
  <c r="P1490" i="34"/>
  <c r="Q1082" i="34"/>
  <c r="P1082" i="34"/>
  <c r="Q1117" i="34"/>
  <c r="O1117" i="34"/>
  <c r="Q1145" i="34"/>
  <c r="P1149" i="34"/>
  <c r="O1160" i="34"/>
  <c r="P1189" i="34"/>
  <c r="P1197" i="34"/>
  <c r="O1201" i="34"/>
  <c r="O1212" i="34"/>
  <c r="O1238" i="34"/>
  <c r="P1246" i="34"/>
  <c r="P1252" i="34"/>
  <c r="P1260" i="34"/>
  <c r="P1268" i="34"/>
  <c r="O1277" i="34"/>
  <c r="Q1277" i="34"/>
  <c r="O1281" i="34"/>
  <c r="Q1285" i="34"/>
  <c r="O1029" i="34"/>
  <c r="Q1036" i="34"/>
  <c r="O1044" i="34"/>
  <c r="Q1048" i="34"/>
  <c r="O1053" i="34"/>
  <c r="Q1065" i="34"/>
  <c r="O1070" i="34"/>
  <c r="O45" i="34"/>
  <c r="O208" i="34"/>
  <c r="P1641" i="34"/>
  <c r="P1673" i="34"/>
  <c r="Q1713" i="34"/>
  <c r="Q1528" i="34"/>
  <c r="O1528" i="34"/>
  <c r="Q1540" i="34"/>
  <c r="P1540" i="34"/>
  <c r="P1544" i="34"/>
  <c r="Q1558" i="34"/>
  <c r="P1562" i="34"/>
  <c r="Q1582" i="34"/>
  <c r="O1582" i="34"/>
  <c r="P1687" i="34"/>
  <c r="O1605" i="34"/>
  <c r="Q1609" i="34"/>
  <c r="P1609" i="34"/>
  <c r="Q1626" i="34"/>
  <c r="P1642" i="34"/>
  <c r="P1707" i="34"/>
  <c r="P1718" i="34"/>
  <c r="Q1761" i="34"/>
  <c r="O1299" i="34"/>
  <c r="Q1410" i="34"/>
  <c r="O1410" i="34"/>
  <c r="O1414" i="34"/>
  <c r="P1419" i="34"/>
  <c r="Q1424" i="34"/>
  <c r="P1424" i="34"/>
  <c r="P1428" i="34"/>
  <c r="P1438" i="34"/>
  <c r="Q1452" i="34"/>
  <c r="P1452" i="34"/>
  <c r="P1463" i="34"/>
  <c r="Q1468" i="34"/>
  <c r="P1468" i="34"/>
  <c r="O1302" i="34"/>
  <c r="P1323" i="34"/>
  <c r="O1340" i="34"/>
  <c r="P1351" i="34"/>
  <c r="Q1368" i="34"/>
  <c r="P1368" i="34"/>
  <c r="Q1376" i="34"/>
  <c r="P1376" i="34"/>
  <c r="Q1386" i="34"/>
  <c r="P1390" i="34"/>
  <c r="O1491" i="34"/>
  <c r="Q1083" i="34"/>
  <c r="P1083" i="34"/>
  <c r="Q1118" i="34"/>
  <c r="P1118" i="34"/>
  <c r="Q1146" i="34"/>
  <c r="O1150" i="34"/>
  <c r="P1161" i="34"/>
  <c r="O1190" i="34"/>
  <c r="O1198" i="34"/>
  <c r="P1213" i="34"/>
  <c r="P1247" i="34"/>
  <c r="P1253" i="34"/>
  <c r="P1261" i="34"/>
  <c r="P1265" i="34"/>
  <c r="Q1269" i="34"/>
  <c r="O1282" i="34"/>
  <c r="Q1282" i="34"/>
  <c r="O1286" i="34"/>
  <c r="Q1031" i="34"/>
  <c r="P1049" i="34"/>
  <c r="P1062" i="34"/>
  <c r="O1076" i="34"/>
  <c r="P209" i="34"/>
  <c r="P1631" i="34"/>
  <c r="Q1645" i="34"/>
  <c r="P1665" i="34"/>
  <c r="O1674" i="34"/>
  <c r="Q1674" i="34"/>
  <c r="O1728" i="34"/>
  <c r="O1517" i="34"/>
  <c r="Q1521" i="34"/>
  <c r="P1521" i="34"/>
  <c r="O1533" i="34"/>
  <c r="Q1537" i="34"/>
  <c r="P1537" i="34"/>
  <c r="P1551" i="34"/>
  <c r="Q1555" i="34"/>
  <c r="P1555" i="34"/>
  <c r="P1563" i="34"/>
  <c r="Q1579" i="34"/>
  <c r="P1579" i="34"/>
  <c r="O1586" i="34"/>
  <c r="O1688" i="34"/>
  <c r="Q1606" i="34"/>
  <c r="O1606" i="34"/>
  <c r="Q1623" i="34"/>
  <c r="O1629" i="34"/>
  <c r="P1643" i="34"/>
  <c r="P1714" i="34"/>
  <c r="P1736" i="34"/>
  <c r="O36" i="34"/>
  <c r="Q1398" i="34"/>
  <c r="O1398" i="34"/>
  <c r="Q1415" i="34"/>
  <c r="P1415" i="34"/>
  <c r="Q1425" i="34"/>
  <c r="P1425" i="34"/>
  <c r="Q1434" i="34"/>
  <c r="O1434" i="34"/>
  <c r="Q1443" i="34"/>
  <c r="P1443" i="34"/>
  <c r="Q1460" i="34"/>
  <c r="O1460" i="34"/>
  <c r="O1465" i="34"/>
  <c r="P1478" i="34"/>
  <c r="P1303" i="34"/>
  <c r="P1319" i="34"/>
  <c r="Q1324" i="34"/>
  <c r="Q1341" i="34"/>
  <c r="P1341" i="34"/>
  <c r="O1358" i="34"/>
  <c r="O1373" i="34"/>
  <c r="Q1382" i="34"/>
  <c r="O1382" i="34"/>
  <c r="Q1391" i="34"/>
  <c r="P1391" i="34"/>
  <c r="Q1492" i="34"/>
  <c r="O1492" i="34"/>
  <c r="O1080" i="34"/>
  <c r="P1102" i="34"/>
  <c r="Q1115" i="34"/>
  <c r="O1115" i="34"/>
  <c r="O1119" i="34"/>
  <c r="Q1147" i="34"/>
  <c r="P1147" i="34"/>
  <c r="Q1158" i="34"/>
  <c r="P1158" i="34"/>
  <c r="O1165" i="34"/>
  <c r="Q1191" i="34"/>
  <c r="P1191" i="34"/>
  <c r="Q1199" i="34"/>
  <c r="O1199" i="34"/>
  <c r="Q1215" i="34"/>
  <c r="O1215" i="34"/>
  <c r="O1219" i="34"/>
  <c r="O1240" i="34"/>
  <c r="O1254" i="34"/>
  <c r="Q1254" i="34"/>
  <c r="O1258" i="34"/>
  <c r="Q1262" i="34"/>
  <c r="O1266" i="34"/>
  <c r="Q1270" i="34"/>
  <c r="P1283" i="34"/>
  <c r="P1027" i="34"/>
  <c r="Q1032" i="34"/>
  <c r="O1051" i="34"/>
  <c r="Q1051" i="34"/>
  <c r="O1055" i="34"/>
  <c r="Q1063" i="34"/>
  <c r="P1068" i="34"/>
  <c r="O1072" i="34"/>
  <c r="P42" i="34"/>
  <c r="Q49" i="34"/>
  <c r="O199" i="34"/>
  <c r="O1632" i="34"/>
  <c r="P1670" i="34"/>
  <c r="Q1675" i="34"/>
  <c r="O1729" i="34"/>
  <c r="P1522" i="34"/>
  <c r="O1530" i="34"/>
  <c r="Q1538" i="34"/>
  <c r="P1542" i="34"/>
  <c r="P1552" i="34"/>
  <c r="P1564" i="34"/>
  <c r="O1587" i="34"/>
  <c r="Q1770" i="34"/>
  <c r="O181" i="34"/>
  <c r="O1611" i="34"/>
  <c r="Q1633" i="34"/>
  <c r="P1633" i="34"/>
  <c r="P1644" i="34"/>
  <c r="O1700" i="34"/>
  <c r="Q1700" i="34"/>
  <c r="P1726" i="34"/>
  <c r="Q1783" i="34"/>
  <c r="P1783" i="34"/>
  <c r="Q1353" i="34"/>
  <c r="P1353" i="34"/>
  <c r="Q1412" i="34"/>
  <c r="P1412" i="34"/>
  <c r="Q1421" i="34"/>
  <c r="P1421" i="34"/>
  <c r="Q1430" i="34"/>
  <c r="O1430" i="34"/>
  <c r="Q1440" i="34"/>
  <c r="P1440" i="34"/>
  <c r="Q1454" i="34"/>
  <c r="O1454" i="34"/>
  <c r="O1475" i="34"/>
  <c r="P1320" i="34"/>
  <c r="P1338" i="34"/>
  <c r="P1365" i="34"/>
  <c r="Q1374" i="34"/>
  <c r="O1374" i="34"/>
  <c r="O1388" i="34"/>
  <c r="O1489" i="34"/>
  <c r="O1493" i="34"/>
  <c r="Q1081" i="34"/>
  <c r="O1081" i="34"/>
  <c r="Q1116" i="34"/>
  <c r="O1120" i="34"/>
  <c r="O1144" i="34"/>
  <c r="Q1148" i="34"/>
  <c r="P1148" i="34"/>
  <c r="Q1159" i="34"/>
  <c r="P1159" i="34"/>
  <c r="Q1188" i="34"/>
  <c r="P1188" i="34"/>
  <c r="Q1196" i="34"/>
  <c r="P1196" i="34"/>
  <c r="O1211" i="34"/>
  <c r="O1220" i="34"/>
  <c r="O1245" i="34"/>
  <c r="Q1250" i="34"/>
  <c r="P1263" i="34"/>
  <c r="P1272" i="34"/>
  <c r="P1276" i="34"/>
  <c r="Q1280" i="34"/>
  <c r="O1284" i="34"/>
  <c r="Q1028" i="34"/>
  <c r="O1035" i="34"/>
  <c r="P1047" i="34"/>
  <c r="P1052" i="34"/>
  <c r="Q1056" i="34"/>
  <c r="O1064" i="34"/>
  <c r="Q1073" i="34"/>
  <c r="O1073" i="34"/>
  <c r="O58" i="34"/>
  <c r="O1627" i="34"/>
  <c r="P1640" i="34"/>
  <c r="P1667" i="34"/>
  <c r="P1712" i="34"/>
  <c r="P1731" i="34"/>
  <c r="O1514" i="34"/>
  <c r="O1527" i="34"/>
  <c r="P1535" i="34"/>
  <c r="Q1539" i="34"/>
  <c r="P1539" i="34"/>
  <c r="O1553" i="34"/>
  <c r="Q1557" i="34"/>
  <c r="P1561" i="34"/>
  <c r="Q1676" i="34"/>
  <c r="P1771" i="34"/>
  <c r="O1771" i="34"/>
  <c r="Q1608" i="34"/>
  <c r="P1608" i="34"/>
  <c r="Q1625" i="34"/>
  <c r="P1634" i="34"/>
  <c r="O1704" i="34"/>
  <c r="Q1704" i="34"/>
  <c r="P1727" i="34"/>
  <c r="Q1776" i="34"/>
  <c r="P1784" i="34"/>
  <c r="O1298" i="34"/>
  <c r="Q1298" i="34"/>
  <c r="Q1395" i="34"/>
  <c r="P1395" i="34"/>
  <c r="P1417" i="34"/>
  <c r="Q1427" i="34"/>
  <c r="P1427" i="34"/>
  <c r="Q1437" i="34"/>
  <c r="O1441" i="34"/>
  <c r="O1455" i="34"/>
  <c r="Q1467" i="34"/>
  <c r="P1467" i="34"/>
  <c r="P1476" i="34"/>
  <c r="P1301" i="34"/>
  <c r="P1317" i="34"/>
  <c r="Q1321" i="34"/>
  <c r="Q1339" i="34"/>
  <c r="P1339" i="34"/>
  <c r="Q1366" i="34"/>
  <c r="O1371" i="34"/>
  <c r="Q1389" i="34"/>
  <c r="P1389" i="34"/>
  <c r="Q1490" i="34"/>
  <c r="O1490" i="34"/>
  <c r="O1494" i="34"/>
  <c r="O1104" i="34"/>
  <c r="P1121" i="34"/>
  <c r="Q1149" i="34"/>
  <c r="O1149" i="34"/>
  <c r="Q1160" i="34"/>
  <c r="P1160" i="34"/>
  <c r="Q1189" i="34"/>
  <c r="O1189" i="34"/>
  <c r="Q1197" i="34"/>
  <c r="P1201" i="34"/>
  <c r="Q1212" i="34"/>
  <c r="P1212" i="34"/>
  <c r="Q1238" i="34"/>
  <c r="O1242" i="34"/>
  <c r="Q1246" i="34"/>
  <c r="P1256" i="34"/>
  <c r="Q1260" i="34"/>
  <c r="O1264" i="34"/>
  <c r="Q1268" i="34"/>
  <c r="O1273" i="34"/>
  <c r="P1281" i="34"/>
  <c r="P1029" i="34"/>
  <c r="P1044" i="34"/>
  <c r="P1053" i="34"/>
  <c r="P1061" i="34"/>
  <c r="Q1070" i="34"/>
  <c r="P1070" i="34"/>
  <c r="Q45" i="34"/>
  <c r="P45" i="34"/>
  <c r="Q208" i="34"/>
  <c r="P208" i="34"/>
  <c r="Q1641" i="34"/>
  <c r="O1651" i="34"/>
  <c r="O1668" i="34"/>
  <c r="Q1668" i="34"/>
  <c r="O1732" i="34"/>
  <c r="Q1732" i="34"/>
  <c r="Q1516" i="34"/>
  <c r="O1516" i="34"/>
  <c r="O1520" i="34"/>
  <c r="Q1532" i="34"/>
  <c r="O1532" i="34"/>
  <c r="O1536" i="34"/>
  <c r="O1554" i="34"/>
  <c r="Q1562" i="34"/>
  <c r="P1578" i="34"/>
  <c r="P1589" i="34"/>
  <c r="Q1687" i="34"/>
  <c r="P1772" i="34"/>
  <c r="O1772" i="34"/>
  <c r="P1614" i="34"/>
  <c r="Q1642" i="34"/>
  <c r="P1698" i="34"/>
  <c r="Q1707" i="34"/>
  <c r="O1711" i="34"/>
  <c r="Q1718" i="34"/>
  <c r="O1735" i="34"/>
  <c r="P1778" i="34"/>
  <c r="O35" i="34"/>
  <c r="P1299" i="34"/>
  <c r="O1396" i="34"/>
  <c r="P1414" i="34"/>
  <c r="Q1438" i="34"/>
  <c r="P1442" i="34"/>
  <c r="O1459" i="34"/>
  <c r="O1477" i="34"/>
  <c r="P1302" i="34"/>
  <c r="P1318" i="34"/>
  <c r="Q1323" i="34"/>
  <c r="Q1340" i="34"/>
  <c r="P1340" i="34"/>
  <c r="O1372" i="34"/>
  <c r="O1381" i="34"/>
  <c r="Q1390" i="34"/>
  <c r="O1390" i="34"/>
  <c r="Q1491" i="34"/>
  <c r="O1079" i="34"/>
  <c r="P1105" i="34"/>
  <c r="O1122" i="34"/>
  <c r="P1146" i="34"/>
  <c r="Q1150" i="34"/>
  <c r="P1150" i="34"/>
  <c r="Q1161" i="34"/>
  <c r="O1161" i="34"/>
  <c r="Q1190" i="34"/>
  <c r="P1190" i="34"/>
  <c r="Q1198" i="34"/>
  <c r="O1202" i="34"/>
  <c r="Q1213" i="34"/>
  <c r="O1213" i="34"/>
  <c r="Q1239" i="34"/>
  <c r="O1239" i="34"/>
  <c r="P1243" i="34"/>
  <c r="Q1247" i="34"/>
  <c r="P1257" i="34"/>
  <c r="Q1261" i="34"/>
  <c r="O1274" i="34"/>
  <c r="Q1274" i="34"/>
  <c r="O1278" i="34"/>
  <c r="P1286" i="34"/>
  <c r="O1039" i="34"/>
  <c r="Q1039" i="34"/>
  <c r="O1045" i="34"/>
  <c r="Q1049" i="34"/>
  <c r="O1054" i="34"/>
  <c r="Q1062" i="34"/>
  <c r="P1066" i="34"/>
  <c r="O1066" i="34"/>
  <c r="Q1076" i="34"/>
  <c r="P1076" i="34"/>
  <c r="Q48" i="34"/>
  <c r="Q209" i="34"/>
  <c r="O209" i="34"/>
  <c r="O1645" i="34"/>
  <c r="P1669" i="34"/>
  <c r="P1728" i="34"/>
  <c r="P1733" i="34"/>
  <c r="P1529" i="34"/>
  <c r="P1541" i="34"/>
  <c r="O1559" i="34"/>
  <c r="P1586" i="34"/>
  <c r="O1590" i="34"/>
  <c r="P1688" i="34"/>
  <c r="O173" i="34"/>
  <c r="P1610" i="34"/>
  <c r="P1623" i="34"/>
  <c r="Q1629" i="34"/>
  <c r="P1629" i="34"/>
  <c r="O1699" i="34"/>
  <c r="Q1699" i="34"/>
  <c r="O1708" i="34"/>
  <c r="Q1714" i="34"/>
  <c r="O1719" i="34"/>
  <c r="Q1736" i="34"/>
  <c r="P1773" i="34"/>
  <c r="O1773" i="34"/>
  <c r="Q36" i="34"/>
  <c r="P36" i="34"/>
  <c r="P1352" i="34"/>
  <c r="O1411" i="34"/>
  <c r="O1420" i="34"/>
  <c r="O1429" i="34"/>
  <c r="O1439" i="34"/>
  <c r="O1453" i="34"/>
  <c r="Q1465" i="34"/>
  <c r="P1465" i="34"/>
  <c r="Q1478" i="34"/>
  <c r="O1478" i="34"/>
  <c r="Q1303" i="34"/>
  <c r="P1358" i="34"/>
  <c r="Q1373" i="34"/>
  <c r="P1373" i="34"/>
  <c r="O1378" i="34"/>
  <c r="O1387" i="34"/>
  <c r="O1488" i="34"/>
  <c r="Q1080" i="34"/>
  <c r="P1080" i="34"/>
  <c r="Q1119" i="34"/>
  <c r="P1119" i="34"/>
  <c r="P1143" i="34"/>
  <c r="O1151" i="34"/>
  <c r="P1165" i="34"/>
  <c r="P1187" i="34"/>
  <c r="O1195" i="34"/>
  <c r="Q1203" i="34"/>
  <c r="O1203" i="34"/>
  <c r="O1210" i="34"/>
  <c r="Q1219" i="34"/>
  <c r="P1219" i="34"/>
  <c r="O1244" i="34"/>
  <c r="Q1244" i="34"/>
  <c r="O1249" i="34"/>
  <c r="P1258" i="34"/>
  <c r="P1266" i="34"/>
  <c r="O1275" i="34"/>
  <c r="Q1275" i="34"/>
  <c r="O1279" i="34"/>
  <c r="Q1283" i="34"/>
  <c r="O1040" i="34"/>
  <c r="Q1040" i="34"/>
  <c r="O1046" i="34"/>
  <c r="P1055" i="34"/>
  <c r="O1068" i="34"/>
  <c r="Q1072" i="34"/>
  <c r="P1072" i="34"/>
  <c r="Q42" i="34"/>
  <c r="O42" i="34"/>
  <c r="Q199" i="34"/>
  <c r="P199" i="34"/>
  <c r="Q1632" i="34"/>
  <c r="P1632" i="34"/>
  <c r="O1646" i="34"/>
  <c r="O1666" i="34"/>
  <c r="Q1666" i="34"/>
  <c r="P1729" i="34"/>
  <c r="P1734" i="34"/>
  <c r="Q1522" i="34"/>
  <c r="P1530" i="34"/>
  <c r="O1534" i="34"/>
  <c r="Q1542" i="34"/>
  <c r="Q1560" i="34"/>
  <c r="O1560" i="34"/>
  <c r="Q1587" i="34"/>
  <c r="O1591" i="34"/>
  <c r="Q181" i="34"/>
  <c r="P181" i="34"/>
  <c r="Q1611" i="34"/>
  <c r="P1611" i="34"/>
  <c r="P1624" i="34"/>
  <c r="O1709" i="34"/>
  <c r="Q1709" i="34"/>
  <c r="O1716" i="34"/>
  <c r="Q1726" i="34"/>
  <c r="P1759" i="34"/>
  <c r="O37" i="34"/>
  <c r="O1399" i="34"/>
  <c r="O1416" i="34"/>
  <c r="P1426" i="34"/>
  <c r="O1435" i="34"/>
  <c r="O1444" i="34"/>
  <c r="P1461" i="34"/>
  <c r="Q1475" i="34"/>
  <c r="P1475" i="34"/>
  <c r="O1304" i="34"/>
  <c r="Q1320" i="34"/>
  <c r="Q1338" i="34"/>
  <c r="O1338" i="34"/>
  <c r="Q1365" i="34"/>
  <c r="P1370" i="34"/>
  <c r="O1379" i="34"/>
  <c r="Q1388" i="34"/>
  <c r="P1388" i="34"/>
  <c r="Q1489" i="34"/>
  <c r="P1489" i="34"/>
  <c r="O1103" i="34"/>
  <c r="O1116" i="34"/>
  <c r="Q1120" i="34"/>
  <c r="P1120" i="34"/>
  <c r="O1152" i="34"/>
  <c r="O1166" i="34"/>
  <c r="O1192" i="34"/>
  <c r="P1200" i="34"/>
  <c r="Q1211" i="34"/>
  <c r="P1211" i="34"/>
  <c r="Q1220" i="34"/>
  <c r="P1220" i="34"/>
  <c r="O1241" i="34"/>
  <c r="P1245" i="34"/>
  <c r="O1255" i="34"/>
  <c r="Q1255" i="34"/>
  <c r="O1259" i="34"/>
  <c r="Q1263" i="34"/>
  <c r="O1267" i="34"/>
  <c r="Q1272" i="34"/>
  <c r="P1284" i="34"/>
  <c r="P1035" i="34"/>
  <c r="P1042" i="34"/>
  <c r="Q1047" i="34"/>
  <c r="P1064" i="34"/>
  <c r="P1069" i="34"/>
  <c r="O1078" i="34"/>
  <c r="Q58" i="34"/>
  <c r="P58" i="34"/>
  <c r="Q1627" i="34"/>
  <c r="P1672" i="34"/>
  <c r="Q1712" i="34"/>
  <c r="P1514" i="34"/>
  <c r="Q1527" i="34"/>
  <c r="O1531" i="34"/>
  <c r="O1543" i="34"/>
  <c r="O1557" i="34"/>
  <c r="Q1561" i="34"/>
  <c r="P1577" i="34"/>
  <c r="Q1588" i="34"/>
  <c r="O1588" i="34"/>
  <c r="Q1771" i="34"/>
  <c r="O182" i="34"/>
  <c r="O1613" i="34"/>
  <c r="O1625" i="34"/>
  <c r="Q1634" i="34"/>
  <c r="P1671" i="34"/>
  <c r="O1710" i="34"/>
  <c r="Q1710" i="34"/>
  <c r="O1717" i="34"/>
  <c r="Q1727" i="34"/>
  <c r="P1760" i="34"/>
  <c r="O1760" i="34"/>
  <c r="Q1784" i="34"/>
  <c r="O1784" i="34"/>
  <c r="P1409" i="34"/>
  <c r="Q1417" i="34"/>
  <c r="P1422" i="34"/>
  <c r="O1431" i="34"/>
  <c r="O1437" i="34"/>
  <c r="Q1441" i="34"/>
  <c r="P1441" i="34"/>
  <c r="Q1455" i="34"/>
  <c r="P1455" i="34"/>
  <c r="O1462" i="34"/>
  <c r="Q1301" i="34"/>
  <c r="O1343" i="34"/>
  <c r="Q1371" i="34"/>
  <c r="P1371" i="34"/>
  <c r="Q1380" i="34"/>
  <c r="O1380" i="34"/>
  <c r="O1384" i="34"/>
  <c r="O1485" i="34"/>
  <c r="P1494" i="34"/>
  <c r="Q1104" i="34"/>
  <c r="P1104" i="34"/>
  <c r="Q1121" i="34"/>
  <c r="O1121" i="34"/>
  <c r="O1145" i="34"/>
  <c r="O1156" i="34"/>
  <c r="O1167" i="34"/>
  <c r="P1193" i="34"/>
  <c r="Q1201" i="34"/>
  <c r="O1207" i="34"/>
  <c r="P1217" i="34"/>
  <c r="P1238" i="34"/>
  <c r="Q1242" i="34"/>
  <c r="O1252" i="34"/>
  <c r="Q1252" i="34"/>
  <c r="P1264" i="34"/>
  <c r="P1273" i="34"/>
  <c r="P1277" i="34"/>
  <c r="Q1281" i="34"/>
  <c r="O1285" i="34"/>
  <c r="Q1029" i="34"/>
  <c r="O1036" i="34"/>
  <c r="Q1044" i="34"/>
  <c r="O1048" i="34"/>
  <c r="Q1053" i="34"/>
  <c r="O1075" i="34"/>
  <c r="O59" i="34"/>
  <c r="O1628" i="34"/>
  <c r="O1641" i="34"/>
  <c r="Q1651" i="34"/>
  <c r="P1651" i="34"/>
  <c r="O1673" i="34"/>
  <c r="Q1673" i="34"/>
  <c r="O1713" i="34"/>
  <c r="Q1520" i="34"/>
  <c r="P1520" i="34"/>
  <c r="P1528" i="34"/>
  <c r="Q1536" i="34"/>
  <c r="P1536" i="34"/>
  <c r="Q1544" i="34"/>
  <c r="O1544" i="34"/>
  <c r="P1554" i="34"/>
  <c r="O1558" i="34"/>
  <c r="Q1578" i="34"/>
  <c r="O1578" i="34"/>
  <c r="Q1589" i="34"/>
  <c r="Q1772" i="34"/>
  <c r="P1605" i="34"/>
  <c r="Q1614" i="34"/>
  <c r="O1614" i="34"/>
  <c r="O1626" i="34"/>
  <c r="P1711" i="34"/>
  <c r="P1735" i="34"/>
  <c r="O1778" i="34"/>
  <c r="Q35" i="34"/>
  <c r="P35" i="34"/>
  <c r="Q1299" i="34"/>
  <c r="Q1396" i="34"/>
  <c r="P1396" i="34"/>
  <c r="Q1414" i="34"/>
  <c r="O1419" i="34"/>
  <c r="Q1428" i="34"/>
  <c r="O1428" i="34"/>
  <c r="O1433" i="34"/>
  <c r="Q1442" i="34"/>
  <c r="O1442" i="34"/>
  <c r="Q1459" i="34"/>
  <c r="O1463" i="34"/>
  <c r="Q1477" i="34"/>
  <c r="P1477" i="34"/>
  <c r="Q1302" i="34"/>
  <c r="O1351" i="34"/>
  <c r="Q1372" i="34"/>
  <c r="P1372" i="34"/>
  <c r="Q1381" i="34"/>
  <c r="P1381" i="34"/>
  <c r="O1386" i="34"/>
  <c r="O1487" i="34"/>
  <c r="P1491" i="34"/>
  <c r="Q1079" i="34"/>
  <c r="P1079" i="34"/>
  <c r="Q1105" i="34"/>
  <c r="O1105" i="34"/>
  <c r="Q1122" i="34"/>
  <c r="P1122" i="34"/>
  <c r="P1157" i="34"/>
  <c r="O1168" i="34"/>
  <c r="O1194" i="34"/>
  <c r="P1198" i="34"/>
  <c r="Q1202" i="34"/>
  <c r="P1209" i="34"/>
  <c r="O1218" i="34"/>
  <c r="O1253" i="34"/>
  <c r="Q1253" i="34"/>
  <c r="O1265" i="34"/>
  <c r="Q1265" i="34"/>
  <c r="O1269" i="34"/>
  <c r="P1278" i="34"/>
  <c r="P1282" i="34"/>
  <c r="Q1286" i="34"/>
  <c r="O1031" i="34"/>
  <c r="P1045" i="34"/>
  <c r="P1054" i="34"/>
  <c r="Q1066" i="34"/>
  <c r="O1071" i="34"/>
  <c r="O41" i="34"/>
  <c r="O48" i="34"/>
  <c r="O62" i="34"/>
  <c r="O1631" i="34"/>
  <c r="O1665" i="34"/>
  <c r="Q1665" i="34"/>
  <c r="P1674" i="34"/>
  <c r="Q1728" i="34"/>
  <c r="P1517" i="34"/>
  <c r="Q1529" i="34"/>
  <c r="P1533" i="34"/>
  <c r="Q1541" i="34"/>
  <c r="O1551" i="34"/>
  <c r="Q1559" i="34"/>
  <c r="O1563" i="34"/>
  <c r="Q1586" i="34"/>
  <c r="P1590" i="34"/>
  <c r="Q1688" i="34"/>
  <c r="Q173" i="34"/>
  <c r="P173" i="34"/>
  <c r="Q1610" i="34"/>
  <c r="O1610" i="34"/>
  <c r="O1643" i="34"/>
  <c r="P1708" i="34"/>
  <c r="P1719" i="34"/>
  <c r="Q1773" i="34"/>
  <c r="O1782" i="34"/>
  <c r="Q1411" i="34"/>
  <c r="P1411" i="34"/>
  <c r="Q1420" i="34"/>
  <c r="P1420" i="34"/>
  <c r="Q1429" i="34"/>
  <c r="P1429" i="34"/>
  <c r="Q1439" i="34"/>
  <c r="P1439" i="34"/>
  <c r="Q1453" i="34"/>
  <c r="P1453" i="34"/>
  <c r="P1460" i="34"/>
  <c r="O1473" i="34"/>
  <c r="O1319" i="34"/>
  <c r="Q1319" i="34"/>
  <c r="O1324" i="34"/>
  <c r="Q1358" i="34"/>
  <c r="O1369" i="34"/>
  <c r="P1378" i="34"/>
  <c r="Q1387" i="34"/>
  <c r="P1387" i="34"/>
  <c r="Q1488" i="34"/>
  <c r="P1488" i="34"/>
  <c r="P1492" i="34"/>
  <c r="O1102" i="34"/>
  <c r="P1115" i="34"/>
  <c r="Q1151" i="34"/>
  <c r="P1151" i="34"/>
  <c r="Q1165" i="34"/>
  <c r="Q1195" i="34"/>
  <c r="P1195" i="34"/>
  <c r="P1199" i="34"/>
  <c r="Q1210" i="34"/>
  <c r="P1210" i="34"/>
  <c r="P1215" i="34"/>
  <c r="P1240" i="34"/>
  <c r="P1249" i="34"/>
  <c r="P1254" i="34"/>
  <c r="Q1258" i="34"/>
  <c r="O1262" i="34"/>
  <c r="Q1266" i="34"/>
  <c r="O1270" i="34"/>
  <c r="P1279" i="34"/>
  <c r="O1027" i="34"/>
  <c r="Q1027" i="34"/>
  <c r="O1032" i="34"/>
  <c r="P1046" i="34"/>
  <c r="P1051" i="34"/>
  <c r="Q1055" i="34"/>
  <c r="O1063" i="34"/>
  <c r="Q1068" i="34"/>
  <c r="P1077" i="34"/>
  <c r="P306" i="34"/>
  <c r="P1646" i="34"/>
  <c r="O1670" i="34"/>
  <c r="Q1670" i="34"/>
  <c r="O1675" i="34"/>
  <c r="Q1729" i="34"/>
  <c r="P1518" i="34"/>
  <c r="Q1530" i="34"/>
  <c r="P1534" i="34"/>
  <c r="O1538" i="34"/>
  <c r="Q1552" i="34"/>
  <c r="O1552" i="34"/>
  <c r="O1556" i="34"/>
  <c r="Q1564" i="34"/>
  <c r="O1564" i="34"/>
  <c r="O1580" i="34"/>
  <c r="P1587" i="34"/>
  <c r="Q1591" i="34"/>
  <c r="O1607" i="34"/>
  <c r="Q1644" i="34"/>
  <c r="O1644" i="34"/>
  <c r="P1700" i="34"/>
  <c r="P1716" i="34"/>
  <c r="O1759" i="34"/>
  <c r="P1775" i="34"/>
  <c r="O1775" i="34"/>
  <c r="Q37" i="34"/>
  <c r="P37" i="34"/>
  <c r="Q1399" i="34"/>
  <c r="P1399" i="34"/>
  <c r="Q1416" i="34"/>
  <c r="P1416" i="34"/>
  <c r="Q1426" i="34"/>
  <c r="O1426" i="34"/>
  <c r="Q1435" i="34"/>
  <c r="P1435" i="34"/>
  <c r="Q1444" i="34"/>
  <c r="P1444" i="34"/>
  <c r="Q1461" i="34"/>
  <c r="P1466" i="34"/>
  <c r="P1482" i="34"/>
  <c r="P1304" i="34"/>
  <c r="P1342" i="34"/>
  <c r="O1365" i="34"/>
  <c r="Q1370" i="34"/>
  <c r="O1370" i="34"/>
  <c r="Q1379" i="34"/>
  <c r="O1383" i="34"/>
  <c r="O1484" i="34"/>
  <c r="P1493" i="34"/>
  <c r="Q1103" i="34"/>
  <c r="P1103" i="34"/>
  <c r="P1144" i="34"/>
  <c r="Q1152" i="34"/>
  <c r="P1152" i="34"/>
  <c r="Q1166" i="34"/>
  <c r="P1166" i="34"/>
  <c r="Q1192" i="34"/>
  <c r="P1192" i="34"/>
  <c r="Q1200" i="34"/>
  <c r="O1206" i="34"/>
  <c r="O1216" i="34"/>
  <c r="P1241" i="34"/>
  <c r="Q1245" i="34"/>
  <c r="O1250" i="34"/>
  <c r="P1259" i="34"/>
  <c r="P1267" i="34"/>
  <c r="O1276" i="34"/>
  <c r="Q1276" i="34"/>
  <c r="O1280" i="34"/>
  <c r="Q1284" i="34"/>
  <c r="O1028" i="34"/>
  <c r="Q1035" i="34"/>
  <c r="O1052" i="34"/>
  <c r="Q1052" i="34"/>
  <c r="O1056" i="34"/>
  <c r="Q1064" i="34"/>
  <c r="Q1069" i="34"/>
  <c r="O1069" i="34"/>
  <c r="Q1078" i="34"/>
  <c r="P1078" i="34"/>
  <c r="O44" i="34"/>
  <c r="O200" i="34"/>
  <c r="P1627" i="34"/>
  <c r="Q1640" i="34"/>
  <c r="O1640" i="34"/>
  <c r="P1650" i="34"/>
  <c r="O1667" i="34"/>
  <c r="Q1667" i="34"/>
  <c r="O1731" i="34"/>
  <c r="Q1731" i="34"/>
  <c r="Q1514" i="34"/>
  <c r="O1519" i="34"/>
  <c r="P1527" i="34"/>
  <c r="Q1531" i="34"/>
  <c r="O1535" i="34"/>
  <c r="Q1543" i="34"/>
  <c r="P1553" i="34"/>
  <c r="O1561" i="34"/>
  <c r="Q1577" i="34"/>
  <c r="O1581" i="34"/>
  <c r="O1676" i="34"/>
  <c r="Q182" i="34"/>
  <c r="P182" i="34"/>
  <c r="Q1613" i="34"/>
  <c r="P1613" i="34"/>
  <c r="P1704" i="34"/>
  <c r="P1717" i="34"/>
  <c r="Q1760" i="34"/>
  <c r="P1298" i="34"/>
  <c r="Q1409" i="34"/>
  <c r="O1413" i="34"/>
  <c r="O1417" i="34"/>
  <c r="Q1422" i="34"/>
  <c r="O1422" i="34"/>
  <c r="Q1431" i="34"/>
  <c r="P1431" i="34"/>
  <c r="O1445" i="34"/>
  <c r="P1462" i="34"/>
  <c r="Q1476" i="34"/>
  <c r="O1476" i="34"/>
  <c r="O1317" i="34"/>
  <c r="Q1317" i="34"/>
  <c r="O1321" i="34"/>
  <c r="Q1343" i="34"/>
  <c r="P1343" i="34"/>
  <c r="O1366" i="34"/>
  <c r="O1375" i="34"/>
  <c r="Q1384" i="34"/>
  <c r="P1384" i="34"/>
  <c r="Q1485" i="34"/>
  <c r="P1485" i="34"/>
  <c r="Q1494" i="34"/>
  <c r="O1082" i="34"/>
  <c r="P1117" i="34"/>
  <c r="P1145" i="34"/>
  <c r="Q1156" i="34"/>
  <c r="P1156" i="34"/>
  <c r="Q1167" i="34"/>
  <c r="P1167" i="34"/>
  <c r="Q1193" i="34"/>
  <c r="O1193" i="34"/>
  <c r="O1197" i="34"/>
  <c r="Q1207" i="34"/>
  <c r="P1207" i="34"/>
  <c r="Q1217" i="34"/>
  <c r="O1217" i="34"/>
  <c r="P1242" i="34"/>
  <c r="O1246" i="34"/>
  <c r="O1256" i="34"/>
  <c r="Q1256" i="34"/>
  <c r="O1260" i="34"/>
  <c r="Q1264" i="34"/>
  <c r="O1268" i="34"/>
  <c r="Q1273" i="34"/>
  <c r="P1285" i="34"/>
  <c r="P1036" i="34"/>
  <c r="P1048" i="34"/>
  <c r="O1061" i="34"/>
  <c r="Q1061" i="34"/>
  <c r="P1065" i="34"/>
  <c r="O1065" i="34"/>
  <c r="Q1075" i="34"/>
  <c r="P1075" i="34"/>
  <c r="Q59" i="34"/>
  <c r="P59" i="34"/>
  <c r="Q1628" i="34"/>
  <c r="P1628" i="34"/>
  <c r="P1668" i="34"/>
  <c r="P1713" i="34"/>
  <c r="P1732" i="34"/>
  <c r="P1516" i="34"/>
  <c r="P1532" i="34"/>
  <c r="O1540" i="34"/>
  <c r="Q1554" i="34"/>
  <c r="P1558" i="34"/>
  <c r="O1562" i="34"/>
  <c r="P1582" i="34"/>
  <c r="O1589" i="34"/>
  <c r="O1687" i="34"/>
  <c r="Q1605" i="34"/>
  <c r="O1609" i="34"/>
  <c r="P1626" i="34"/>
  <c r="O1642" i="34"/>
  <c r="O1698" i="34"/>
  <c r="Q1698" i="34"/>
  <c r="O1707" i="34"/>
  <c r="Q1711" i="34"/>
  <c r="O1718" i="34"/>
  <c r="Q1735" i="34"/>
  <c r="P1761" i="34"/>
  <c r="O1761" i="34"/>
  <c r="Q1778" i="34"/>
  <c r="P1410" i="34"/>
  <c r="Q1419" i="34"/>
  <c r="O1424" i="34"/>
  <c r="Q1433" i="34"/>
  <c r="P1433" i="34"/>
  <c r="O1438" i="34"/>
  <c r="O1452" i="34"/>
  <c r="P1459" i="34"/>
  <c r="Q1463" i="34"/>
  <c r="O1468" i="34"/>
  <c r="O1318" i="34"/>
  <c r="Q1318" i="34"/>
  <c r="O1323" i="34"/>
  <c r="Q1351" i="34"/>
  <c r="O1368" i="34"/>
  <c r="O1376" i="34"/>
  <c r="P1386" i="34"/>
  <c r="Q1487" i="34"/>
  <c r="P1487" i="34"/>
  <c r="O1083" i="34"/>
  <c r="O1118" i="34"/>
  <c r="O1146" i="34"/>
  <c r="Q1157" i="34"/>
  <c r="O1157" i="34"/>
  <c r="Q1168" i="34"/>
  <c r="P1168" i="34"/>
  <c r="Q1194" i="34"/>
  <c r="P1194" i="34"/>
  <c r="P1202" i="34"/>
  <c r="Q1209" i="34"/>
  <c r="O1209" i="34"/>
  <c r="Q1218" i="34"/>
  <c r="P1218" i="34"/>
  <c r="P1239" i="34"/>
  <c r="O1243" i="34"/>
  <c r="Q1243" i="34"/>
  <c r="O1247" i="34"/>
  <c r="O1257" i="34"/>
  <c r="Q1257" i="34"/>
  <c r="O1261" i="34"/>
  <c r="P1269" i="34"/>
  <c r="P1274" i="34"/>
  <c r="Q1278" i="34"/>
  <c r="P1031" i="34"/>
  <c r="P1039" i="34"/>
  <c r="Q1045" i="34"/>
  <c r="O1049" i="34"/>
  <c r="Q1054" i="34"/>
  <c r="O1062" i="34"/>
  <c r="Q1071" i="34"/>
  <c r="P1071" i="34"/>
  <c r="Q41" i="34"/>
  <c r="P41" i="34"/>
  <c r="P48" i="34"/>
  <c r="Q62" i="34"/>
  <c r="P62" i="34"/>
  <c r="Q1631" i="34"/>
  <c r="P1645" i="34"/>
  <c r="O1669" i="34"/>
  <c r="Q1669" i="34"/>
  <c r="O1733" i="34"/>
  <c r="Q1733" i="34"/>
  <c r="Q1517" i="34"/>
  <c r="O1521" i="34"/>
  <c r="O1529" i="34"/>
  <c r="Q1533" i="34"/>
  <c r="O1537" i="34"/>
  <c r="O1541" i="34"/>
  <c r="Q1551" i="34"/>
  <c r="O1555" i="34"/>
  <c r="P1559" i="34"/>
  <c r="Q1563" i="34"/>
  <c r="O1579" i="34"/>
  <c r="Q1590" i="34"/>
  <c r="P1606" i="34"/>
  <c r="O1623" i="34"/>
  <c r="Q1643" i="34"/>
  <c r="P1699" i="34"/>
  <c r="Q1708" i="34"/>
  <c r="O1714" i="34"/>
  <c r="Q1719" i="34"/>
  <c r="O1736" i="34"/>
  <c r="Q1782" i="34"/>
  <c r="P1782" i="34"/>
  <c r="Q1352" i="34"/>
  <c r="O1352" i="34"/>
  <c r="P1398" i="34"/>
  <c r="O1415" i="34"/>
  <c r="O1425" i="34"/>
  <c r="P1434" i="34"/>
  <c r="O1443" i="34"/>
  <c r="Q1473" i="34"/>
  <c r="P1473" i="34"/>
  <c r="O1303" i="34"/>
  <c r="P1324" i="34"/>
  <c r="O1341" i="34"/>
  <c r="Q1369" i="34"/>
  <c r="P1369" i="34"/>
  <c r="Q1378" i="34"/>
  <c r="P1382" i="34"/>
  <c r="O1391" i="34"/>
  <c r="Q1102" i="34"/>
  <c r="Q1143" i="34"/>
  <c r="O1143" i="34"/>
  <c r="O1147" i="34"/>
  <c r="O1158" i="34"/>
  <c r="Q1187" i="34"/>
  <c r="O1187" i="34"/>
  <c r="O1191" i="34"/>
  <c r="P1203" i="34"/>
  <c r="Q1240" i="34"/>
  <c r="P1244" i="34"/>
  <c r="Q1249" i="34"/>
  <c r="P1262" i="34"/>
  <c r="P1270" i="34"/>
  <c r="P1275" i="34"/>
  <c r="Q1279" i="34"/>
  <c r="O1283" i="34"/>
  <c r="P1032" i="34"/>
  <c r="P1040" i="34"/>
  <c r="Q1046" i="34"/>
  <c r="P1063" i="34"/>
  <c r="Q1077" i="34"/>
  <c r="O1077" i="34"/>
  <c r="P49" i="34"/>
  <c r="O49" i="34"/>
  <c r="Q306" i="34"/>
  <c r="O306" i="34"/>
  <c r="Q1646" i="34"/>
  <c r="P1666" i="34"/>
  <c r="P1675" i="34"/>
  <c r="O1734" i="34"/>
  <c r="Q1734" i="34"/>
  <c r="Q1518" i="34"/>
  <c r="O1518" i="34"/>
  <c r="O1522" i="34"/>
  <c r="Q1534" i="34"/>
  <c r="P1538" i="34"/>
  <c r="O1542" i="34"/>
  <c r="Q1556" i="34"/>
  <c r="P1556" i="34"/>
  <c r="P1560" i="34"/>
  <c r="Q1580" i="34"/>
  <c r="P1580" i="34"/>
  <c r="P1591" i="34"/>
  <c r="P1770" i="34"/>
  <c r="O1770" i="34"/>
  <c r="Q1607" i="34"/>
  <c r="P1607" i="34"/>
  <c r="Q1624" i="34"/>
  <c r="O1624" i="34"/>
  <c r="O1633" i="34"/>
  <c r="P1709" i="34"/>
  <c r="Q1716" i="34"/>
  <c r="O1726" i="34"/>
  <c r="Q1759" i="34"/>
  <c r="Q1775" i="34"/>
  <c r="O1783" i="34"/>
  <c r="O1353" i="34"/>
  <c r="O1412" i="34"/>
  <c r="O1421" i="34"/>
  <c r="P1430" i="34"/>
  <c r="O1440" i="34"/>
  <c r="P1454" i="34"/>
  <c r="O1461" i="34"/>
  <c r="Q1466" i="34"/>
  <c r="O1466" i="34"/>
  <c r="Q1482" i="34"/>
  <c r="O1482" i="34"/>
  <c r="Q1304" i="34"/>
  <c r="O1320" i="34"/>
  <c r="Q1342" i="34"/>
  <c r="O1342" i="34"/>
  <c r="P1374" i="34"/>
  <c r="P1379" i="34"/>
  <c r="Q1383" i="34"/>
  <c r="P1383" i="34"/>
  <c r="Q1484" i="34"/>
  <c r="P1484" i="34"/>
  <c r="Q1493" i="34"/>
  <c r="P1081" i="34"/>
  <c r="P1116" i="34"/>
  <c r="Q1144" i="34"/>
  <c r="O1148" i="34"/>
  <c r="O1159" i="34"/>
  <c r="O1188" i="34"/>
  <c r="O1196" i="34"/>
  <c r="O1200" i="34"/>
  <c r="Q1206" i="34"/>
  <c r="P1206" i="34"/>
  <c r="Q1216" i="34"/>
  <c r="P1216" i="34"/>
  <c r="Q1241" i="34"/>
  <c r="P1250" i="34"/>
  <c r="P1255" i="34"/>
  <c r="Q1259" i="34"/>
  <c r="O1263" i="34"/>
  <c r="Q1267" i="34"/>
  <c r="O1272" i="34"/>
  <c r="P1280" i="34"/>
  <c r="P1028" i="34"/>
  <c r="O1042" i="34"/>
  <c r="Q1042" i="34"/>
  <c r="O1047" i="34"/>
  <c r="P1056" i="34"/>
  <c r="P1073" i="34"/>
  <c r="O337" i="34"/>
  <c r="Q337" i="34"/>
  <c r="P697" i="34"/>
  <c r="P1026" i="34"/>
  <c r="O1014" i="34"/>
  <c r="Q1013" i="34"/>
  <c r="Q697" i="34"/>
  <c r="O697" i="34"/>
  <c r="O1013" i="34"/>
  <c r="P337" i="34"/>
  <c r="Q1026" i="34"/>
  <c r="Q1014" i="34"/>
  <c r="P1014" i="34"/>
  <c r="O1026" i="34"/>
  <c r="P1013" i="34"/>
  <c r="Q170" i="34"/>
  <c r="O170" i="34"/>
  <c r="Q1763" i="34"/>
  <c r="O1763" i="34"/>
  <c r="Q99" i="34"/>
  <c r="P99" i="34"/>
  <c r="O171" i="34"/>
  <c r="P1767" i="34"/>
  <c r="P1780" i="34"/>
  <c r="O100" i="34"/>
  <c r="O1764" i="34"/>
  <c r="Q102" i="34"/>
  <c r="P102" i="34"/>
  <c r="Q168" i="34"/>
  <c r="P168" i="34"/>
  <c r="Q1768" i="34"/>
  <c r="P97" i="34"/>
  <c r="Q103" i="34"/>
  <c r="P103" i="34"/>
  <c r="Q169" i="34"/>
  <c r="P169" i="34"/>
  <c r="P1769" i="34"/>
  <c r="O1769" i="34"/>
  <c r="Q98" i="34"/>
  <c r="P98" i="34"/>
  <c r="Q1762" i="34"/>
  <c r="P171" i="34"/>
  <c r="O61" i="34"/>
  <c r="Q60" i="34"/>
  <c r="P101" i="34"/>
  <c r="Q172" i="34"/>
  <c r="P320" i="34"/>
  <c r="P1762" i="34"/>
  <c r="Q1766" i="34"/>
  <c r="Q1780" i="34"/>
  <c r="O1780" i="34"/>
  <c r="Q100" i="34"/>
  <c r="P100" i="34"/>
  <c r="Q1764" i="34"/>
  <c r="P60" i="34"/>
  <c r="Q97" i="34"/>
  <c r="O97" i="34"/>
  <c r="P1765" i="34"/>
  <c r="O172" i="34"/>
  <c r="O320" i="34"/>
  <c r="Q1769" i="34"/>
  <c r="O40" i="34"/>
  <c r="O1762" i="34"/>
  <c r="O1766" i="34"/>
  <c r="Q1767" i="34"/>
  <c r="O60" i="34"/>
  <c r="O39" i="34"/>
  <c r="P1779" i="34"/>
  <c r="P172" i="34"/>
  <c r="Q40" i="34"/>
  <c r="P1763" i="34"/>
  <c r="P170" i="34"/>
  <c r="P1766" i="34"/>
  <c r="O99" i="34"/>
  <c r="Q61" i="34"/>
  <c r="P61" i="34"/>
  <c r="P1764" i="34"/>
  <c r="O102" i="34"/>
  <c r="O168" i="34"/>
  <c r="O1768" i="34"/>
  <c r="Q39" i="34"/>
  <c r="P39" i="34"/>
  <c r="Q101" i="34"/>
  <c r="O101" i="34"/>
  <c r="Q1765" i="34"/>
  <c r="Q1779" i="34"/>
  <c r="O103" i="34"/>
  <c r="O169" i="34"/>
  <c r="O98" i="34"/>
  <c r="Q171" i="34"/>
  <c r="O1767" i="34"/>
  <c r="P1768" i="34"/>
  <c r="O1765" i="34"/>
  <c r="O1779" i="34"/>
  <c r="Q320" i="34"/>
  <c r="P40" i="34"/>
  <c r="O22" i="34"/>
  <c r="P22" i="34"/>
  <c r="Q22" i="34"/>
  <c r="O336" i="34"/>
  <c r="Q336" i="34"/>
  <c r="Q692" i="34"/>
  <c r="P692" i="34"/>
  <c r="O335" i="34"/>
  <c r="Q335" i="34"/>
  <c r="O696" i="34"/>
  <c r="P336" i="34"/>
  <c r="Q696" i="34"/>
  <c r="P696" i="34"/>
  <c r="P335" i="34"/>
  <c r="O692" i="34"/>
  <c r="O21" i="34"/>
  <c r="P21" i="34"/>
  <c r="Q21" i="34"/>
  <c r="O471" i="34"/>
  <c r="Q471" i="34"/>
  <c r="P471" i="34"/>
  <c r="Q92" i="34"/>
  <c r="P92" i="34"/>
  <c r="O180" i="34"/>
  <c r="Q180" i="34"/>
  <c r="P180" i="34"/>
  <c r="O92" i="34"/>
  <c r="O1703" i="34"/>
  <c r="Q1796" i="34"/>
  <c r="P1703" i="34"/>
  <c r="P1796" i="34"/>
  <c r="O1796" i="34"/>
  <c r="Q1703" i="34"/>
  <c r="Q623" i="34"/>
  <c r="U623" i="34"/>
  <c r="Z623" i="34"/>
  <c r="P623" i="34"/>
  <c r="O623" i="34"/>
  <c r="A623" i="34"/>
  <c r="Q535" i="34"/>
  <c r="U535" i="34"/>
  <c r="Z535" i="34"/>
  <c r="O535" i="34"/>
  <c r="P535" i="34"/>
  <c r="A535" i="34"/>
  <c r="Q529" i="34"/>
  <c r="U529" i="34"/>
  <c r="Z529" i="34"/>
  <c r="O529" i="34"/>
  <c r="P529" i="34"/>
  <c r="A529" i="34"/>
  <c r="Q617" i="34"/>
  <c r="U617" i="34"/>
  <c r="Z617" i="34"/>
  <c r="O617" i="34"/>
  <c r="P617" i="34"/>
  <c r="A617" i="34"/>
  <c r="Q613" i="34"/>
  <c r="U613" i="34"/>
  <c r="Z613" i="34"/>
  <c r="O613" i="34"/>
  <c r="P613" i="34"/>
  <c r="A613" i="34"/>
  <c r="Q609" i="34"/>
  <c r="U609" i="34"/>
  <c r="Z609" i="34"/>
  <c r="O609" i="34"/>
  <c r="P609" i="34"/>
  <c r="A609" i="34"/>
  <c r="Q578" i="34"/>
  <c r="U578" i="34"/>
  <c r="Z578" i="34"/>
  <c r="O578" i="34"/>
  <c r="P578" i="34"/>
  <c r="A578" i="34"/>
  <c r="Q574" i="34"/>
  <c r="U574" i="34"/>
  <c r="Z574" i="34"/>
  <c r="O574" i="34"/>
  <c r="P574" i="34"/>
  <c r="A574" i="34"/>
  <c r="Q569" i="34"/>
  <c r="U569" i="34"/>
  <c r="Z569" i="34"/>
  <c r="O569" i="34"/>
  <c r="P569" i="34"/>
  <c r="A569" i="34"/>
  <c r="Q565" i="34"/>
  <c r="U565" i="34"/>
  <c r="Z565" i="34"/>
  <c r="O565" i="34"/>
  <c r="P565" i="34"/>
  <c r="A565" i="34"/>
  <c r="Q561" i="34"/>
  <c r="U561" i="34"/>
  <c r="Z561" i="34"/>
  <c r="P561" i="34"/>
  <c r="T561" i="34"/>
  <c r="O561" i="34"/>
  <c r="R561" i="34"/>
  <c r="S561" i="34"/>
  <c r="A561" i="34"/>
  <c r="Q522" i="34"/>
  <c r="U522" i="34"/>
  <c r="Z522" i="34"/>
  <c r="P522" i="34"/>
  <c r="O522" i="34"/>
  <c r="A522" i="34"/>
  <c r="Q518" i="34"/>
  <c r="U518" i="34"/>
  <c r="Z518" i="34"/>
  <c r="P518" i="34"/>
  <c r="O518" i="34"/>
  <c r="A518" i="34"/>
  <c r="Q483" i="34"/>
  <c r="U483" i="34"/>
  <c r="Z483" i="34"/>
  <c r="O483" i="34"/>
  <c r="T483" i="34"/>
  <c r="P483" i="34"/>
  <c r="R483" i="34"/>
  <c r="S483" i="34"/>
  <c r="A483" i="34"/>
  <c r="Q423" i="34"/>
  <c r="U423" i="34"/>
  <c r="Z423" i="34"/>
  <c r="O423" i="34"/>
  <c r="P423" i="34"/>
  <c r="A423" i="34"/>
  <c r="Q414" i="34"/>
  <c r="U414" i="34"/>
  <c r="Z414" i="34"/>
  <c r="P414" i="34"/>
  <c r="R414" i="34"/>
  <c r="S414" i="34"/>
  <c r="O414" i="34"/>
  <c r="T414" i="34"/>
  <c r="A414" i="34"/>
  <c r="Q525" i="34"/>
  <c r="U525" i="34"/>
  <c r="Z525" i="34"/>
  <c r="O525" i="34"/>
  <c r="P525" i="34"/>
  <c r="A525" i="34"/>
  <c r="Q508" i="34"/>
  <c r="U508" i="34"/>
  <c r="Z508" i="34"/>
  <c r="O508" i="34"/>
  <c r="P508" i="34"/>
  <c r="A508" i="34"/>
  <c r="Q488" i="34"/>
  <c r="U488" i="34"/>
  <c r="Z488" i="34"/>
  <c r="S488" i="34"/>
  <c r="O488" i="34"/>
  <c r="T488" i="34"/>
  <c r="P488" i="34"/>
  <c r="R488" i="34"/>
  <c r="A488" i="34"/>
  <c r="Q1009" i="34"/>
  <c r="U1009" i="34"/>
  <c r="Z1009" i="34"/>
  <c r="O1009" i="34"/>
  <c r="P1009" i="34"/>
  <c r="A1009" i="34"/>
  <c r="Q409" i="34"/>
  <c r="U409" i="34"/>
  <c r="Z409" i="34"/>
  <c r="O409" i="34"/>
  <c r="P409" i="34"/>
  <c r="A409" i="34"/>
  <c r="Q405" i="34"/>
  <c r="U405" i="34"/>
  <c r="Z405" i="34"/>
  <c r="O405" i="34"/>
  <c r="P405" i="34"/>
  <c r="A405" i="34"/>
  <c r="Q386" i="34"/>
  <c r="U386" i="34"/>
  <c r="Z386" i="34"/>
  <c r="P386" i="34"/>
  <c r="O386" i="34"/>
  <c r="A386" i="34"/>
  <c r="O381" i="34"/>
  <c r="P381" i="34"/>
  <c r="Q381" i="34"/>
  <c r="U381" i="34"/>
  <c r="Z381" i="34"/>
  <c r="A381" i="34"/>
  <c r="O376" i="34"/>
  <c r="P376" i="34"/>
  <c r="Q376" i="34"/>
  <c r="U376" i="34"/>
  <c r="Z376" i="34"/>
  <c r="A376" i="34"/>
  <c r="O372" i="34"/>
  <c r="P372" i="34"/>
  <c r="Q372" i="34"/>
  <c r="U372" i="34"/>
  <c r="Z372" i="34"/>
  <c r="A372" i="34"/>
  <c r="Q253" i="34"/>
  <c r="U253" i="34"/>
  <c r="Z253" i="34"/>
  <c r="O253" i="34"/>
  <c r="P253" i="34"/>
  <c r="A253" i="34"/>
  <c r="Q206" i="34"/>
  <c r="U206" i="34"/>
  <c r="Z206" i="34"/>
  <c r="O206" i="34"/>
  <c r="T206" i="34"/>
  <c r="P206" i="34"/>
  <c r="R206" i="34"/>
  <c r="S206" i="34"/>
  <c r="A206" i="34"/>
  <c r="Q193" i="34"/>
  <c r="U193" i="34"/>
  <c r="Z193" i="34"/>
  <c r="P193" i="34"/>
  <c r="O193" i="34"/>
  <c r="A193" i="34"/>
  <c r="Q177" i="34"/>
  <c r="U177" i="34"/>
  <c r="Z177" i="34"/>
  <c r="O177" i="34"/>
  <c r="P177" i="34"/>
  <c r="A177" i="34"/>
  <c r="Q198" i="34"/>
  <c r="U198" i="34"/>
  <c r="Z198" i="34"/>
  <c r="O198" i="34"/>
  <c r="P198" i="34"/>
  <c r="A198" i="34"/>
  <c r="O354" i="34"/>
  <c r="P354" i="34"/>
  <c r="Q354" i="34"/>
  <c r="U354" i="34"/>
  <c r="Z354" i="34"/>
  <c r="A354" i="34"/>
  <c r="Q412" i="34"/>
  <c r="U412" i="34"/>
  <c r="Z412" i="34"/>
  <c r="O412" i="34"/>
  <c r="P412" i="34"/>
  <c r="A412" i="34"/>
  <c r="O364" i="34"/>
  <c r="P364" i="34"/>
  <c r="Q364" i="34"/>
  <c r="U364" i="34"/>
  <c r="Z364" i="34"/>
  <c r="A364" i="34"/>
  <c r="O358" i="34"/>
  <c r="S358" i="34"/>
  <c r="P358" i="34"/>
  <c r="T358" i="34"/>
  <c r="Q358" i="34"/>
  <c r="U358" i="34"/>
  <c r="Z358" i="34"/>
  <c r="R358" i="34"/>
  <c r="A358" i="34"/>
  <c r="Q622" i="34"/>
  <c r="U622" i="34"/>
  <c r="Z622" i="34"/>
  <c r="O622" i="34"/>
  <c r="P622" i="34"/>
  <c r="A622" i="34"/>
  <c r="Q534" i="34"/>
  <c r="U534" i="34"/>
  <c r="Z534" i="34"/>
  <c r="O534" i="34"/>
  <c r="P534" i="34"/>
  <c r="A534" i="34"/>
  <c r="Q620" i="34"/>
  <c r="U620" i="34"/>
  <c r="Z620" i="34"/>
  <c r="O620" i="34"/>
  <c r="P620" i="34"/>
  <c r="A620" i="34"/>
  <c r="Q616" i="34"/>
  <c r="U616" i="34"/>
  <c r="Z616" i="34"/>
  <c r="O616" i="34"/>
  <c r="P616" i="34"/>
  <c r="A616" i="34"/>
  <c r="Q612" i="34"/>
  <c r="U612" i="34"/>
  <c r="Z612" i="34"/>
  <c r="O612" i="34"/>
  <c r="P612" i="34"/>
  <c r="A612" i="34"/>
  <c r="Q608" i="34"/>
  <c r="U608" i="34"/>
  <c r="Z608" i="34"/>
  <c r="O608" i="34"/>
  <c r="P608" i="34"/>
  <c r="A608" i="34"/>
  <c r="Q577" i="34"/>
  <c r="U577" i="34"/>
  <c r="Z577" i="34"/>
  <c r="O577" i="34"/>
  <c r="P577" i="34"/>
  <c r="A577" i="34"/>
  <c r="Q573" i="34"/>
  <c r="U573" i="34"/>
  <c r="Z573" i="34"/>
  <c r="O573" i="34"/>
  <c r="P573" i="34"/>
  <c r="A573" i="34"/>
  <c r="Q568" i="34"/>
  <c r="U568" i="34"/>
  <c r="Z568" i="34"/>
  <c r="O568" i="34"/>
  <c r="P568" i="34"/>
  <c r="A568" i="34"/>
  <c r="Q564" i="34"/>
  <c r="U564" i="34"/>
  <c r="Z564" i="34"/>
  <c r="O564" i="34"/>
  <c r="P564" i="34"/>
  <c r="A564" i="34"/>
  <c r="Q553" i="34"/>
  <c r="U553" i="34"/>
  <c r="Z553" i="34"/>
  <c r="O553" i="34"/>
  <c r="P553" i="34"/>
  <c r="A553" i="34"/>
  <c r="Q521" i="34"/>
  <c r="U521" i="34"/>
  <c r="Z521" i="34"/>
  <c r="O521" i="34"/>
  <c r="P521" i="34"/>
  <c r="A521" i="34"/>
  <c r="Q517" i="34"/>
  <c r="U517" i="34"/>
  <c r="Z517" i="34"/>
  <c r="O517" i="34"/>
  <c r="P517" i="34"/>
  <c r="A517" i="34"/>
  <c r="Q482" i="34"/>
  <c r="U482" i="34"/>
  <c r="Z482" i="34"/>
  <c r="P482" i="34"/>
  <c r="R482" i="34"/>
  <c r="S482" i="34"/>
  <c r="O482" i="34"/>
  <c r="T482" i="34"/>
  <c r="A482" i="34"/>
  <c r="Q422" i="34"/>
  <c r="U422" i="34"/>
  <c r="Z422" i="34"/>
  <c r="P422" i="34"/>
  <c r="O422" i="34"/>
  <c r="A422" i="34"/>
  <c r="Q528" i="34"/>
  <c r="U528" i="34"/>
  <c r="Z528" i="34"/>
  <c r="O528" i="34"/>
  <c r="P528" i="34"/>
  <c r="A528" i="34"/>
  <c r="Q511" i="34"/>
  <c r="U511" i="34"/>
  <c r="Z511" i="34"/>
  <c r="O511" i="34"/>
  <c r="P511" i="34"/>
  <c r="A511" i="34"/>
  <c r="Q507" i="34"/>
  <c r="U507" i="34"/>
  <c r="Z507" i="34"/>
  <c r="O507" i="34"/>
  <c r="P507" i="34"/>
  <c r="A507" i="34"/>
  <c r="Q487" i="34"/>
  <c r="U487" i="34"/>
  <c r="Z487" i="34"/>
  <c r="O487" i="34"/>
  <c r="T487" i="34"/>
  <c r="P487" i="34"/>
  <c r="R487" i="34"/>
  <c r="S487" i="34"/>
  <c r="A487" i="34"/>
  <c r="Q426" i="34"/>
  <c r="U426" i="34"/>
  <c r="Z426" i="34"/>
  <c r="P426" i="34"/>
  <c r="O426" i="34"/>
  <c r="A426" i="34"/>
  <c r="Q408" i="34"/>
  <c r="U408" i="34"/>
  <c r="Z408" i="34"/>
  <c r="O408" i="34"/>
  <c r="P408" i="34"/>
  <c r="A408" i="34"/>
  <c r="Q404" i="34"/>
  <c r="U404" i="34"/>
  <c r="Z404" i="34"/>
  <c r="O404" i="34"/>
  <c r="P404" i="34"/>
  <c r="A404" i="34"/>
  <c r="Q385" i="34"/>
  <c r="U385" i="34"/>
  <c r="Z385" i="34"/>
  <c r="O385" i="34"/>
  <c r="P385" i="34"/>
  <c r="A385" i="34"/>
  <c r="O380" i="34"/>
  <c r="P380" i="34"/>
  <c r="Q380" i="34"/>
  <c r="U380" i="34"/>
  <c r="Z380" i="34"/>
  <c r="A380" i="34"/>
  <c r="O375" i="34"/>
  <c r="P375" i="34"/>
  <c r="Q375" i="34"/>
  <c r="U375" i="34"/>
  <c r="Z375" i="34"/>
  <c r="A375" i="34"/>
  <c r="O359" i="34"/>
  <c r="P359" i="34"/>
  <c r="Q359" i="34"/>
  <c r="U359" i="34"/>
  <c r="Z359" i="34"/>
  <c r="A359" i="34"/>
  <c r="Q252" i="34"/>
  <c r="U252" i="34"/>
  <c r="Z252" i="34"/>
  <c r="O252" i="34"/>
  <c r="P252" i="34"/>
  <c r="A252" i="34"/>
  <c r="Q205" i="34"/>
  <c r="U205" i="34"/>
  <c r="Z205" i="34"/>
  <c r="P205" i="34"/>
  <c r="R205" i="34"/>
  <c r="S205" i="34"/>
  <c r="O205" i="34"/>
  <c r="T205" i="34"/>
  <c r="A205" i="34"/>
  <c r="Q191" i="34"/>
  <c r="U191" i="34"/>
  <c r="Z191" i="34"/>
  <c r="P191" i="34"/>
  <c r="T191" i="34"/>
  <c r="S191" i="34"/>
  <c r="O191" i="34"/>
  <c r="R191" i="34"/>
  <c r="A191" i="34"/>
  <c r="Q1011" i="34"/>
  <c r="U1011" i="34"/>
  <c r="Z1011" i="34"/>
  <c r="P1011" i="34"/>
  <c r="O1011" i="34"/>
  <c r="A1011" i="34"/>
  <c r="Q204" i="34"/>
  <c r="U204" i="34"/>
  <c r="Z204" i="34"/>
  <c r="R204" i="34"/>
  <c r="S204" i="34"/>
  <c r="O204" i="34"/>
  <c r="T204" i="34"/>
  <c r="P204" i="34"/>
  <c r="A204" i="34"/>
  <c r="Q389" i="34"/>
  <c r="U389" i="34"/>
  <c r="Z389" i="34"/>
  <c r="O389" i="34"/>
  <c r="P389" i="34"/>
  <c r="A389" i="34"/>
  <c r="Q693" i="34"/>
  <c r="U693" i="34"/>
  <c r="Z693" i="34"/>
  <c r="P693" i="34"/>
  <c r="O693" i="34"/>
  <c r="A693" i="34"/>
  <c r="O365" i="34"/>
  <c r="P365" i="34"/>
  <c r="Q365" i="34"/>
  <c r="U365" i="34"/>
  <c r="Z365" i="34"/>
  <c r="A365" i="34"/>
  <c r="O369" i="34"/>
  <c r="P369" i="34"/>
  <c r="Q369" i="34"/>
  <c r="U369" i="34"/>
  <c r="Z369" i="34"/>
  <c r="A369" i="34"/>
  <c r="Q621" i="34"/>
  <c r="U621" i="34"/>
  <c r="Z621" i="34"/>
  <c r="O621" i="34"/>
  <c r="P621" i="34"/>
  <c r="A621" i="34"/>
  <c r="Q533" i="34"/>
  <c r="U533" i="34"/>
  <c r="Z533" i="34"/>
  <c r="P533" i="34"/>
  <c r="R533" i="34"/>
  <c r="S533" i="34"/>
  <c r="O533" i="34"/>
  <c r="T533" i="34"/>
  <c r="A533" i="34"/>
  <c r="Q619" i="34"/>
  <c r="U619" i="34"/>
  <c r="Z619" i="34"/>
  <c r="P619" i="34"/>
  <c r="O619" i="34"/>
  <c r="A619" i="34"/>
  <c r="Q615" i="34"/>
  <c r="U615" i="34"/>
  <c r="Z615" i="34"/>
  <c r="P615" i="34"/>
  <c r="O615" i="34"/>
  <c r="A615" i="34"/>
  <c r="Q611" i="34"/>
  <c r="U611" i="34"/>
  <c r="Z611" i="34"/>
  <c r="P611" i="34"/>
  <c r="O611" i="34"/>
  <c r="A611" i="34"/>
  <c r="Q580" i="34"/>
  <c r="U580" i="34"/>
  <c r="Z580" i="34"/>
  <c r="O580" i="34"/>
  <c r="P580" i="34"/>
  <c r="A580" i="34"/>
  <c r="Q576" i="34"/>
  <c r="U576" i="34"/>
  <c r="Z576" i="34"/>
  <c r="O576" i="34"/>
  <c r="P576" i="34"/>
  <c r="A576" i="34"/>
  <c r="Q572" i="34"/>
  <c r="U572" i="34"/>
  <c r="Z572" i="34"/>
  <c r="O572" i="34"/>
  <c r="P572" i="34"/>
  <c r="A572" i="34"/>
  <c r="Q567" i="34"/>
  <c r="U567" i="34"/>
  <c r="Z567" i="34"/>
  <c r="P567" i="34"/>
  <c r="O567" i="34"/>
  <c r="A567" i="34"/>
  <c r="Q563" i="34"/>
  <c r="U563" i="34"/>
  <c r="Z563" i="34"/>
  <c r="P563" i="34"/>
  <c r="O563" i="34"/>
  <c r="A563" i="34"/>
  <c r="Q552" i="34"/>
  <c r="U552" i="34"/>
  <c r="Z552" i="34"/>
  <c r="O552" i="34"/>
  <c r="P552" i="34"/>
  <c r="A552" i="34"/>
  <c r="Q520" i="34"/>
  <c r="U520" i="34"/>
  <c r="Z520" i="34"/>
  <c r="O520" i="34"/>
  <c r="P520" i="34"/>
  <c r="A520" i="34"/>
  <c r="Q516" i="34"/>
  <c r="U516" i="34"/>
  <c r="Z516" i="34"/>
  <c r="O516" i="34"/>
  <c r="P516" i="34"/>
  <c r="A516" i="34"/>
  <c r="Q475" i="34"/>
  <c r="U475" i="34"/>
  <c r="Z475" i="34"/>
  <c r="O475" i="34"/>
  <c r="T475" i="34"/>
  <c r="P475" i="34"/>
  <c r="R475" i="34"/>
  <c r="S475" i="34"/>
  <c r="A475" i="34"/>
  <c r="Q421" i="34"/>
  <c r="U421" i="34"/>
  <c r="Z421" i="34"/>
  <c r="O421" i="34"/>
  <c r="P421" i="34"/>
  <c r="A421" i="34"/>
  <c r="Q527" i="34"/>
  <c r="U527" i="34"/>
  <c r="Z527" i="34"/>
  <c r="O527" i="34"/>
  <c r="P527" i="34"/>
  <c r="A527" i="34"/>
  <c r="Q510" i="34"/>
  <c r="U510" i="34"/>
  <c r="Z510" i="34"/>
  <c r="P510" i="34"/>
  <c r="O510" i="34"/>
  <c r="A510" i="34"/>
  <c r="Q506" i="34"/>
  <c r="U506" i="34"/>
  <c r="Z506" i="34"/>
  <c r="P506" i="34"/>
  <c r="O506" i="34"/>
  <c r="A506" i="34"/>
  <c r="Q428" i="34"/>
  <c r="U428" i="34"/>
  <c r="Z428" i="34"/>
  <c r="O428" i="34"/>
  <c r="P428" i="34"/>
  <c r="A428" i="34"/>
  <c r="Q425" i="34"/>
  <c r="U425" i="34"/>
  <c r="Z425" i="34"/>
  <c r="O425" i="34"/>
  <c r="P425" i="34"/>
  <c r="A425" i="34"/>
  <c r="Q407" i="34"/>
  <c r="U407" i="34"/>
  <c r="Z407" i="34"/>
  <c r="O407" i="34"/>
  <c r="T407" i="34"/>
  <c r="P407" i="34"/>
  <c r="R407" i="34"/>
  <c r="S407" i="34"/>
  <c r="A407" i="34"/>
  <c r="Q388" i="34"/>
  <c r="U388" i="34"/>
  <c r="Z388" i="34"/>
  <c r="O388" i="34"/>
  <c r="P388" i="34"/>
  <c r="A388" i="34"/>
  <c r="O384" i="34"/>
  <c r="Q384" i="34"/>
  <c r="U384" i="34"/>
  <c r="Z384" i="34"/>
  <c r="P384" i="34"/>
  <c r="A384" i="34"/>
  <c r="O379" i="34"/>
  <c r="P379" i="34"/>
  <c r="Q379" i="34"/>
  <c r="U379" i="34"/>
  <c r="Z379" i="34"/>
  <c r="A379" i="34"/>
  <c r="O374" i="34"/>
  <c r="P374" i="34"/>
  <c r="Q374" i="34"/>
  <c r="U374" i="34"/>
  <c r="Z374" i="34"/>
  <c r="A374" i="34"/>
  <c r="Q695" i="34"/>
  <c r="U695" i="34"/>
  <c r="Z695" i="34"/>
  <c r="O695" i="34"/>
  <c r="P695" i="34"/>
  <c r="A695" i="34"/>
  <c r="Q216" i="34"/>
  <c r="U216" i="34"/>
  <c r="Z216" i="34"/>
  <c r="R216" i="34"/>
  <c r="S216" i="34"/>
  <c r="O216" i="34"/>
  <c r="T216" i="34"/>
  <c r="P216" i="34"/>
  <c r="A216" i="34"/>
  <c r="Q196" i="34"/>
  <c r="U196" i="34"/>
  <c r="Z196" i="34"/>
  <c r="R196" i="34"/>
  <c r="S196" i="34"/>
  <c r="O196" i="34"/>
  <c r="T196" i="34"/>
  <c r="P196" i="34"/>
  <c r="A196" i="34"/>
  <c r="Q190" i="34"/>
  <c r="U190" i="34"/>
  <c r="Z190" i="34"/>
  <c r="P190" i="34"/>
  <c r="T190" i="34"/>
  <c r="R190" i="34"/>
  <c r="S190" i="34"/>
  <c r="O190" i="34"/>
  <c r="A190" i="34"/>
  <c r="Q194" i="34"/>
  <c r="U194" i="34"/>
  <c r="Z194" i="34"/>
  <c r="O194" i="34"/>
  <c r="P194" i="34"/>
  <c r="A194" i="34"/>
  <c r="Q489" i="34"/>
  <c r="U489" i="34"/>
  <c r="Z489" i="34"/>
  <c r="R489" i="34"/>
  <c r="S489" i="34"/>
  <c r="O489" i="34"/>
  <c r="T489" i="34"/>
  <c r="P489" i="34"/>
  <c r="A489" i="34"/>
  <c r="Q393" i="34"/>
  <c r="U393" i="34"/>
  <c r="Z393" i="34"/>
  <c r="R393" i="34"/>
  <c r="S393" i="34"/>
  <c r="O393" i="34"/>
  <c r="T393" i="34"/>
  <c r="P393" i="34"/>
  <c r="A393" i="34"/>
  <c r="O362" i="34"/>
  <c r="P362" i="34"/>
  <c r="Q362" i="34"/>
  <c r="U362" i="34"/>
  <c r="Z362" i="34"/>
  <c r="A362" i="34"/>
  <c r="O366" i="34"/>
  <c r="P366" i="34"/>
  <c r="Q366" i="34"/>
  <c r="U366" i="34"/>
  <c r="Z366" i="34"/>
  <c r="A366" i="34"/>
  <c r="O370" i="34"/>
  <c r="P370" i="34"/>
  <c r="Q370" i="34"/>
  <c r="U370" i="34"/>
  <c r="Z370" i="34"/>
  <c r="A370" i="34"/>
  <c r="Q548" i="34"/>
  <c r="U548" i="34"/>
  <c r="Z548" i="34"/>
  <c r="O548" i="34"/>
  <c r="P548" i="34"/>
  <c r="A548" i="34"/>
  <c r="Q530" i="34"/>
  <c r="U530" i="34"/>
  <c r="Z530" i="34"/>
  <c r="P530" i="34"/>
  <c r="O530" i="34"/>
  <c r="A530" i="34"/>
  <c r="Q618" i="34"/>
  <c r="U618" i="34"/>
  <c r="Z618" i="34"/>
  <c r="O618" i="34"/>
  <c r="P618" i="34"/>
  <c r="A618" i="34"/>
  <c r="Q614" i="34"/>
  <c r="U614" i="34"/>
  <c r="Z614" i="34"/>
  <c r="O614" i="34"/>
  <c r="P614" i="34"/>
  <c r="A614" i="34"/>
  <c r="Q610" i="34"/>
  <c r="U610" i="34"/>
  <c r="Z610" i="34"/>
  <c r="O610" i="34"/>
  <c r="P610" i="34"/>
  <c r="A610" i="34"/>
  <c r="Q579" i="34"/>
  <c r="U579" i="34"/>
  <c r="Z579" i="34"/>
  <c r="P579" i="34"/>
  <c r="O579" i="34"/>
  <c r="A579" i="34"/>
  <c r="Q575" i="34"/>
  <c r="U575" i="34"/>
  <c r="Z575" i="34"/>
  <c r="P575" i="34"/>
  <c r="O575" i="34"/>
  <c r="A575" i="34"/>
  <c r="Q570" i="34"/>
  <c r="U570" i="34"/>
  <c r="Z570" i="34"/>
  <c r="O570" i="34"/>
  <c r="P570" i="34"/>
  <c r="A570" i="34"/>
  <c r="Q566" i="34"/>
  <c r="U566" i="34"/>
  <c r="Z566" i="34"/>
  <c r="O566" i="34"/>
  <c r="P566" i="34"/>
  <c r="A566" i="34"/>
  <c r="Q562" i="34"/>
  <c r="U562" i="34"/>
  <c r="Z562" i="34"/>
  <c r="P562" i="34"/>
  <c r="O562" i="34"/>
  <c r="A562" i="34"/>
  <c r="Q523" i="34"/>
  <c r="U523" i="34"/>
  <c r="Z523" i="34"/>
  <c r="O523" i="34"/>
  <c r="P523" i="34"/>
  <c r="A523" i="34"/>
  <c r="Q519" i="34"/>
  <c r="U519" i="34"/>
  <c r="Z519" i="34"/>
  <c r="O519" i="34"/>
  <c r="P519" i="34"/>
  <c r="A519" i="34"/>
  <c r="Q515" i="34"/>
  <c r="U515" i="34"/>
  <c r="Z515" i="34"/>
  <c r="O515" i="34"/>
  <c r="P515" i="34"/>
  <c r="A515" i="34"/>
  <c r="Q474" i="34"/>
  <c r="U474" i="34"/>
  <c r="Z474" i="34"/>
  <c r="P474" i="34"/>
  <c r="R474" i="34"/>
  <c r="S474" i="34"/>
  <c r="O474" i="34"/>
  <c r="T474" i="34"/>
  <c r="A474" i="34"/>
  <c r="Q420" i="34"/>
  <c r="U420" i="34"/>
  <c r="Z420" i="34"/>
  <c r="O420" i="34"/>
  <c r="P420" i="34"/>
  <c r="A420" i="34"/>
  <c r="Q526" i="34"/>
  <c r="U526" i="34"/>
  <c r="Z526" i="34"/>
  <c r="P526" i="34"/>
  <c r="O526" i="34"/>
  <c r="A526" i="34"/>
  <c r="Q509" i="34"/>
  <c r="U509" i="34"/>
  <c r="Z509" i="34"/>
  <c r="O509" i="34"/>
  <c r="P509" i="34"/>
  <c r="A509" i="34"/>
  <c r="Q505" i="34"/>
  <c r="U505" i="34"/>
  <c r="Z505" i="34"/>
  <c r="O505" i="34"/>
  <c r="P505" i="34"/>
  <c r="A505" i="34"/>
  <c r="Q1010" i="34"/>
  <c r="U1010" i="34"/>
  <c r="Z1010" i="34"/>
  <c r="O1010" i="34"/>
  <c r="P1010" i="34"/>
  <c r="A1010" i="34"/>
  <c r="Q410" i="34"/>
  <c r="U410" i="34"/>
  <c r="Z410" i="34"/>
  <c r="P410" i="34"/>
  <c r="O410" i="34"/>
  <c r="A410" i="34"/>
  <c r="Q406" i="34"/>
  <c r="U406" i="34"/>
  <c r="Z406" i="34"/>
  <c r="P406" i="34"/>
  <c r="O406" i="34"/>
  <c r="A406" i="34"/>
  <c r="Q387" i="34"/>
  <c r="U387" i="34"/>
  <c r="Z387" i="34"/>
  <c r="O387" i="34"/>
  <c r="P387" i="34"/>
  <c r="A387" i="34"/>
  <c r="O382" i="34"/>
  <c r="Q382" i="34"/>
  <c r="U382" i="34"/>
  <c r="Z382" i="34"/>
  <c r="P382" i="34"/>
  <c r="A382" i="34"/>
  <c r="O378" i="34"/>
  <c r="P378" i="34"/>
  <c r="Q378" i="34"/>
  <c r="U378" i="34"/>
  <c r="Z378" i="34"/>
  <c r="A378" i="34"/>
  <c r="O373" i="34"/>
  <c r="P373" i="34"/>
  <c r="Q373" i="34"/>
  <c r="U373" i="34"/>
  <c r="Z373" i="34"/>
  <c r="A373" i="34"/>
  <c r="Q694" i="34"/>
  <c r="U694" i="34"/>
  <c r="Z694" i="34"/>
  <c r="O694" i="34"/>
  <c r="P694" i="34"/>
  <c r="A694" i="34"/>
  <c r="Q211" i="34"/>
  <c r="U211" i="34"/>
  <c r="Z211" i="34"/>
  <c r="O211" i="34"/>
  <c r="P211" i="34"/>
  <c r="A211" i="34"/>
  <c r="Q195" i="34"/>
  <c r="U195" i="34"/>
  <c r="Z195" i="34"/>
  <c r="O195" i="34"/>
  <c r="P195" i="34"/>
  <c r="A195" i="34"/>
  <c r="Q1012" i="34"/>
  <c r="U1012" i="34"/>
  <c r="Z1012" i="34"/>
  <c r="O1012" i="34"/>
  <c r="P1012" i="34"/>
  <c r="A1012" i="34"/>
  <c r="Q197" i="34"/>
  <c r="U197" i="34"/>
  <c r="Z197" i="34"/>
  <c r="P197" i="34"/>
  <c r="O197" i="34"/>
  <c r="A197" i="34"/>
  <c r="Q497" i="34"/>
  <c r="U497" i="34"/>
  <c r="Z497" i="34"/>
  <c r="R497" i="34"/>
  <c r="S497" i="34"/>
  <c r="O497" i="34"/>
  <c r="T497" i="34"/>
  <c r="P497" i="34"/>
  <c r="A497" i="34"/>
  <c r="Q411" i="34"/>
  <c r="U411" i="34"/>
  <c r="Z411" i="34"/>
  <c r="O411" i="34"/>
  <c r="P411" i="34"/>
  <c r="A411" i="34"/>
  <c r="O363" i="34"/>
  <c r="P363" i="34"/>
  <c r="Q363" i="34"/>
  <c r="U363" i="34"/>
  <c r="Z363" i="34"/>
  <c r="A363" i="34"/>
  <c r="O367" i="34"/>
  <c r="P367" i="34"/>
  <c r="Q367" i="34"/>
  <c r="U367" i="34"/>
  <c r="Z367" i="34"/>
  <c r="A367" i="34"/>
  <c r="O371" i="34"/>
  <c r="P371" i="34"/>
  <c r="Q371" i="34"/>
  <c r="U371" i="34"/>
  <c r="Z371" i="34"/>
  <c r="A371" i="34"/>
  <c r="O2727" i="34"/>
  <c r="Q2729" i="34"/>
  <c r="P2730" i="34"/>
  <c r="O2731" i="34"/>
  <c r="Q2733" i="34"/>
  <c r="P2734" i="34"/>
  <c r="O2735" i="34"/>
  <c r="Q2737" i="34"/>
  <c r="P2738" i="34"/>
  <c r="O2739" i="34"/>
  <c r="Q2741" i="34"/>
  <c r="P2742" i="34"/>
  <c r="O2743" i="34"/>
  <c r="Q2745" i="34"/>
  <c r="P2746" i="34"/>
  <c r="O2747" i="34"/>
  <c r="Q2749" i="34"/>
  <c r="P2750" i="34"/>
  <c r="O2751" i="34"/>
  <c r="Q2753" i="34"/>
  <c r="P2754" i="34"/>
  <c r="O2755" i="34"/>
  <c r="Q2757" i="34"/>
  <c r="P2758" i="34"/>
  <c r="O2759" i="34"/>
  <c r="Q2761" i="34"/>
  <c r="P2762" i="34"/>
  <c r="O2763" i="34"/>
  <c r="Q2765" i="34"/>
  <c r="P2766" i="34"/>
  <c r="O2767" i="34"/>
  <c r="Q2769" i="34"/>
  <c r="P2770" i="34"/>
  <c r="O2771" i="34"/>
  <c r="Q2773" i="34"/>
  <c r="P2774" i="34"/>
  <c r="O2775" i="34"/>
  <c r="Q2777" i="34"/>
  <c r="P2778" i="34"/>
  <c r="O2779" i="34"/>
  <c r="Q2781" i="34"/>
  <c r="P2782" i="34"/>
  <c r="O2783" i="34"/>
  <c r="Q2785" i="34"/>
  <c r="P2786" i="34"/>
  <c r="O2787" i="34"/>
  <c r="Q2789" i="34"/>
  <c r="P2790" i="34"/>
  <c r="O2791" i="34"/>
  <c r="Q2793" i="34"/>
  <c r="P2794" i="34"/>
  <c r="O2795" i="34"/>
  <c r="Q2797" i="34"/>
  <c r="P2798" i="34"/>
  <c r="O2799" i="34"/>
  <c r="Q2801" i="34"/>
  <c r="P2802" i="34"/>
  <c r="O2803" i="34"/>
  <c r="Q2805" i="34"/>
  <c r="P2806" i="34"/>
  <c r="O2807" i="34"/>
  <c r="Q2809" i="34"/>
  <c r="P2810" i="34"/>
  <c r="O2811" i="34"/>
  <c r="Q2813" i="34"/>
  <c r="P2814" i="34"/>
  <c r="O2815" i="34"/>
  <c r="Q2817" i="34"/>
  <c r="P2818" i="34"/>
  <c r="O2819" i="34"/>
  <c r="Q2821" i="34"/>
  <c r="P2822" i="34"/>
  <c r="O2823" i="34"/>
  <c r="Q2825" i="34"/>
  <c r="P2826" i="34"/>
  <c r="O2827" i="34"/>
  <c r="Q2829" i="34"/>
  <c r="P2830" i="34"/>
  <c r="O2831" i="34"/>
  <c r="Q2833" i="34"/>
  <c r="P2834" i="34"/>
  <c r="O2835" i="34"/>
  <c r="Q2837" i="34"/>
  <c r="P2838" i="34"/>
  <c r="O2839" i="34"/>
  <c r="Q2841" i="34"/>
  <c r="P2842" i="34"/>
  <c r="O2843" i="34"/>
  <c r="Q2845" i="34"/>
  <c r="P2846" i="34"/>
  <c r="O2847" i="34"/>
  <c r="Q2849" i="34"/>
  <c r="P2850" i="34"/>
  <c r="O2851" i="34"/>
  <c r="Q2853" i="34"/>
  <c r="P2854" i="34"/>
  <c r="O2855" i="34"/>
  <c r="Q2857" i="34"/>
  <c r="P2858" i="34"/>
  <c r="O2859" i="34"/>
  <c r="Q2861" i="34"/>
  <c r="P2862" i="34"/>
  <c r="O2863" i="34"/>
  <c r="Q2865" i="34"/>
  <c r="P2866" i="34"/>
  <c r="O2867" i="34"/>
  <c r="Q2869" i="34"/>
  <c r="P2870" i="34"/>
  <c r="O2871" i="34"/>
  <c r="Q2873" i="34"/>
  <c r="P2874" i="34"/>
  <c r="O2875" i="34"/>
  <c r="Q2877" i="34"/>
  <c r="P2878" i="34"/>
  <c r="O2879" i="34"/>
  <c r="Q2881" i="34"/>
  <c r="P2882" i="34"/>
  <c r="O2883" i="34"/>
  <c r="Q2885" i="34"/>
  <c r="P2886" i="34"/>
  <c r="O2887" i="34"/>
  <c r="Q2889" i="34"/>
  <c r="P2890" i="34"/>
  <c r="O2891" i="34"/>
  <c r="Q2893" i="34"/>
  <c r="P2894" i="34"/>
  <c r="O2895" i="34"/>
  <c r="Q2897" i="34"/>
  <c r="P2898" i="34"/>
  <c r="O2899" i="34"/>
  <c r="Q2901" i="34"/>
  <c r="P2902" i="34"/>
  <c r="O2903" i="34"/>
  <c r="Q2905" i="34"/>
  <c r="P2906" i="34"/>
  <c r="O2907" i="34"/>
  <c r="Q2909" i="34"/>
  <c r="P2910" i="34"/>
  <c r="O2911" i="34"/>
  <c r="Q2913" i="34"/>
  <c r="P2914" i="34"/>
  <c r="O2915" i="34"/>
  <c r="Q2917" i="34"/>
  <c r="P2918" i="34"/>
  <c r="O2919" i="34"/>
  <c r="Q2921" i="34"/>
  <c r="P2922" i="34"/>
  <c r="O2923" i="34"/>
  <c r="Q2925" i="34"/>
  <c r="P2926" i="34"/>
  <c r="O2927" i="34"/>
  <c r="Q2929" i="34"/>
  <c r="P2930" i="34"/>
  <c r="O2931" i="34"/>
  <c r="Q2933" i="34"/>
  <c r="P2934" i="34"/>
  <c r="O2935" i="34"/>
  <c r="Q2937" i="34"/>
  <c r="P2938" i="34"/>
  <c r="O2939" i="34"/>
  <c r="Q2941" i="34"/>
  <c r="P2942" i="34"/>
  <c r="O2943" i="34"/>
  <c r="Q2945" i="34"/>
  <c r="P2946" i="34"/>
  <c r="O2947" i="34"/>
  <c r="Q2949" i="34"/>
  <c r="P2950" i="34"/>
  <c r="O2951" i="34"/>
  <c r="Q2953" i="34"/>
  <c r="P2954" i="34"/>
  <c r="O2955" i="34"/>
  <c r="Q2957" i="34"/>
  <c r="P2958" i="34"/>
  <c r="O2959" i="34"/>
  <c r="Q2961" i="34"/>
  <c r="P2962" i="34"/>
  <c r="O2963" i="34"/>
  <c r="Q2965" i="34"/>
  <c r="P2966" i="34"/>
  <c r="O2967" i="34"/>
  <c r="Q2969" i="34"/>
  <c r="P2970" i="34"/>
  <c r="O2971" i="34"/>
  <c r="Q2973" i="34"/>
  <c r="P2974" i="34"/>
  <c r="O2975" i="34"/>
  <c r="Q2977" i="34"/>
  <c r="P2978" i="34"/>
  <c r="O2979" i="34"/>
  <c r="Q2981" i="34"/>
  <c r="P2982" i="34"/>
  <c r="O2983" i="34"/>
  <c r="Q2985" i="34"/>
  <c r="P2986" i="34"/>
  <c r="O2987" i="34"/>
  <c r="Q2989" i="34"/>
  <c r="P2990" i="34"/>
  <c r="O2991" i="34"/>
  <c r="Q2993" i="34"/>
  <c r="P2994" i="34"/>
  <c r="O2995" i="34"/>
  <c r="Q2997" i="34"/>
  <c r="P2998" i="34"/>
  <c r="O2999" i="34"/>
  <c r="Q3001" i="34"/>
  <c r="P3002" i="34"/>
  <c r="O3003" i="34"/>
  <c r="Q3005" i="34"/>
  <c r="P3006" i="34"/>
  <c r="O3007" i="34"/>
  <c r="Q3009" i="34"/>
  <c r="P3010" i="34"/>
  <c r="O3011" i="34"/>
  <c r="Q3013" i="34"/>
  <c r="P3014" i="34"/>
  <c r="O3015" i="34"/>
  <c r="Q3017" i="34"/>
  <c r="P3018" i="34"/>
  <c r="O3019" i="34"/>
  <c r="Q3021" i="34"/>
  <c r="P3022" i="34"/>
  <c r="O3023" i="34"/>
  <c r="Q3025" i="34"/>
  <c r="P3026" i="34"/>
  <c r="O3027" i="34"/>
  <c r="Q3029" i="34"/>
  <c r="P3030" i="34"/>
  <c r="O3031" i="34"/>
  <c r="Q3033" i="34"/>
  <c r="P3034" i="34"/>
  <c r="O3035" i="34"/>
  <c r="Q3037" i="34"/>
  <c r="P3038" i="34"/>
  <c r="O3039" i="34"/>
  <c r="Q3041" i="34"/>
  <c r="P3042" i="34"/>
  <c r="O3043" i="34"/>
  <c r="Q3045" i="34"/>
  <c r="P3046" i="34"/>
  <c r="O3047" i="34"/>
  <c r="Q3049" i="34"/>
  <c r="P3050" i="34"/>
  <c r="O3051" i="34"/>
  <c r="Q3053" i="34"/>
  <c r="P3054" i="34"/>
  <c r="O3055" i="34"/>
  <c r="Q3057" i="34"/>
  <c r="P3058" i="34"/>
  <c r="O3059" i="34"/>
  <c r="Q3061" i="34"/>
  <c r="P3062" i="34"/>
  <c r="O3063" i="34"/>
  <c r="Q3065" i="34"/>
  <c r="P3066" i="34"/>
  <c r="O3067" i="34"/>
  <c r="Q3069" i="34"/>
  <c r="P3070" i="34"/>
  <c r="O3071" i="34"/>
  <c r="Q3073" i="34"/>
  <c r="P3074" i="34"/>
  <c r="O3075" i="34"/>
  <c r="Q3077" i="34"/>
  <c r="P3078" i="34"/>
  <c r="O3079" i="34"/>
  <c r="Q3081" i="34"/>
  <c r="P3082" i="34"/>
  <c r="O3083" i="34"/>
  <c r="Q3085" i="34"/>
  <c r="P3086" i="34"/>
  <c r="O3087" i="34"/>
  <c r="Q3089" i="34"/>
  <c r="P3090" i="34"/>
  <c r="O3091" i="34"/>
  <c r="Q3093" i="34"/>
  <c r="P3094" i="34"/>
  <c r="O3095" i="34"/>
  <c r="Q3097" i="34"/>
  <c r="P3098" i="34"/>
  <c r="O3099" i="34"/>
  <c r="Q3101" i="34"/>
  <c r="P3102" i="34"/>
  <c r="O3103" i="34"/>
  <c r="Q3105" i="34"/>
  <c r="P3106" i="34"/>
  <c r="O3107" i="34"/>
  <c r="Q3109" i="34"/>
  <c r="P3110" i="34"/>
  <c r="O3111" i="34"/>
  <c r="Q3113" i="34"/>
  <c r="P3114" i="34"/>
  <c r="O3115" i="34"/>
  <c r="Q3117" i="34"/>
  <c r="P3118" i="34"/>
  <c r="O3119" i="34"/>
  <c r="Q3121" i="34"/>
  <c r="P3122" i="34"/>
  <c r="O3123" i="34"/>
  <c r="Q3125" i="34"/>
  <c r="P3126" i="34"/>
  <c r="O3127" i="34"/>
  <c r="Q3129" i="34"/>
  <c r="P3130" i="34"/>
  <c r="O3131" i="34"/>
  <c r="Q3133" i="34"/>
  <c r="P3134" i="34"/>
  <c r="O3135" i="34"/>
  <c r="Q3137" i="34"/>
  <c r="P3138" i="34"/>
  <c r="O3139" i="34"/>
  <c r="Q3141" i="34"/>
  <c r="P3142" i="34"/>
  <c r="O3143" i="34"/>
  <c r="Q3145" i="34"/>
  <c r="P3146" i="34"/>
  <c r="O3147" i="34"/>
  <c r="Q3149" i="34"/>
  <c r="P3150" i="34"/>
  <c r="O3151" i="34"/>
  <c r="Q3153" i="34"/>
  <c r="P3154" i="34"/>
  <c r="O3155" i="34"/>
  <c r="Q3157" i="34"/>
  <c r="P3158" i="34"/>
  <c r="O3159" i="34"/>
  <c r="Q3161" i="34"/>
  <c r="P3162" i="34"/>
  <c r="O3163" i="34"/>
  <c r="Q3165" i="34"/>
  <c r="P3166" i="34"/>
  <c r="O3167" i="34"/>
  <c r="Q3169" i="34"/>
  <c r="P3170" i="34"/>
  <c r="O3171" i="34"/>
  <c r="Q3173" i="34"/>
  <c r="P3174" i="34"/>
  <c r="O3175" i="34"/>
  <c r="Q3177" i="34"/>
  <c r="P3178" i="34"/>
  <c r="O3179" i="34"/>
  <c r="Q3181" i="34"/>
  <c r="P3182" i="34"/>
  <c r="O3183" i="34"/>
  <c r="P2727" i="34"/>
  <c r="O2728" i="34"/>
  <c r="Q2730" i="34"/>
  <c r="P2731" i="34"/>
  <c r="O2732" i="34"/>
  <c r="Q2734" i="34"/>
  <c r="P2735" i="34"/>
  <c r="O2736" i="34"/>
  <c r="Q2738" i="34"/>
  <c r="P2739" i="34"/>
  <c r="O2740" i="34"/>
  <c r="Q2742" i="34"/>
  <c r="P2743" i="34"/>
  <c r="O2744" i="34"/>
  <c r="Q2746" i="34"/>
  <c r="P2747" i="34"/>
  <c r="O2748" i="34"/>
  <c r="Q2750" i="34"/>
  <c r="P2751" i="34"/>
  <c r="O2752" i="34"/>
  <c r="Q2754" i="34"/>
  <c r="P2755" i="34"/>
  <c r="O2756" i="34"/>
  <c r="Q2758" i="34"/>
  <c r="P2759" i="34"/>
  <c r="O2760" i="34"/>
  <c r="Q2762" i="34"/>
  <c r="P2763" i="34"/>
  <c r="O2764" i="34"/>
  <c r="Q2766" i="34"/>
  <c r="P2767" i="34"/>
  <c r="O2768" i="34"/>
  <c r="Q2770" i="34"/>
  <c r="P2771" i="34"/>
  <c r="O2772" i="34"/>
  <c r="Q2774" i="34"/>
  <c r="P2775" i="34"/>
  <c r="O2776" i="34"/>
  <c r="Q2778" i="34"/>
  <c r="P2779" i="34"/>
  <c r="O2780" i="34"/>
  <c r="Q2782" i="34"/>
  <c r="P2783" i="34"/>
  <c r="O2784" i="34"/>
  <c r="Q2786" i="34"/>
  <c r="P2787" i="34"/>
  <c r="O2788" i="34"/>
  <c r="Q2790" i="34"/>
  <c r="P2791" i="34"/>
  <c r="O2792" i="34"/>
  <c r="Q2794" i="34"/>
  <c r="P2795" i="34"/>
  <c r="O2796" i="34"/>
  <c r="Q2798" i="34"/>
  <c r="P2799" i="34"/>
  <c r="O2800" i="34"/>
  <c r="Q2802" i="34"/>
  <c r="P2803" i="34"/>
  <c r="O2804" i="34"/>
  <c r="Q2806" i="34"/>
  <c r="P2807" i="34"/>
  <c r="O2808" i="34"/>
  <c r="Q2810" i="34"/>
  <c r="P2811" i="34"/>
  <c r="O2812" i="34"/>
  <c r="Q2814" i="34"/>
  <c r="P2815" i="34"/>
  <c r="O2816" i="34"/>
  <c r="Q2818" i="34"/>
  <c r="P2819" i="34"/>
  <c r="O2820" i="34"/>
  <c r="Q2822" i="34"/>
  <c r="P2823" i="34"/>
  <c r="O2824" i="34"/>
  <c r="Q2826" i="34"/>
  <c r="P2827" i="34"/>
  <c r="O2828" i="34"/>
  <c r="Q2830" i="34"/>
  <c r="P2831" i="34"/>
  <c r="O2832" i="34"/>
  <c r="Q2834" i="34"/>
  <c r="P2835" i="34"/>
  <c r="O2836" i="34"/>
  <c r="Q2838" i="34"/>
  <c r="P2839" i="34"/>
  <c r="O2840" i="34"/>
  <c r="Q2842" i="34"/>
  <c r="P2843" i="34"/>
  <c r="O2844" i="34"/>
  <c r="Q2846" i="34"/>
  <c r="P2847" i="34"/>
  <c r="O2848" i="34"/>
  <c r="Q2850" i="34"/>
  <c r="P2851" i="34"/>
  <c r="O2852" i="34"/>
  <c r="Q2854" i="34"/>
  <c r="P2855" i="34"/>
  <c r="O2856" i="34"/>
  <c r="Q2858" i="34"/>
  <c r="P2859" i="34"/>
  <c r="O2860" i="34"/>
  <c r="Q2862" i="34"/>
  <c r="P2863" i="34"/>
  <c r="O2864" i="34"/>
  <c r="Q2866" i="34"/>
  <c r="P2867" i="34"/>
  <c r="O2868" i="34"/>
  <c r="Q2870" i="34"/>
  <c r="P2871" i="34"/>
  <c r="O2872" i="34"/>
  <c r="Q2874" i="34"/>
  <c r="P2875" i="34"/>
  <c r="O2876" i="34"/>
  <c r="Q2878" i="34"/>
  <c r="P2879" i="34"/>
  <c r="O2880" i="34"/>
  <c r="Q2882" i="34"/>
  <c r="P2883" i="34"/>
  <c r="O2884" i="34"/>
  <c r="Q2886" i="34"/>
  <c r="P2887" i="34"/>
  <c r="O2888" i="34"/>
  <c r="Q2890" i="34"/>
  <c r="P2891" i="34"/>
  <c r="O2892" i="34"/>
  <c r="Q2894" i="34"/>
  <c r="P2895" i="34"/>
  <c r="O2896" i="34"/>
  <c r="Q2898" i="34"/>
  <c r="P2899" i="34"/>
  <c r="O2900" i="34"/>
  <c r="Q2902" i="34"/>
  <c r="P2903" i="34"/>
  <c r="O2904" i="34"/>
  <c r="Q2906" i="34"/>
  <c r="P2907" i="34"/>
  <c r="O2908" i="34"/>
  <c r="Q2910" i="34"/>
  <c r="P2911" i="34"/>
  <c r="O2912" i="34"/>
  <c r="Q2914" i="34"/>
  <c r="P2915" i="34"/>
  <c r="O2916" i="34"/>
  <c r="Q2918" i="34"/>
  <c r="P2919" i="34"/>
  <c r="O2920" i="34"/>
  <c r="Q2922" i="34"/>
  <c r="P2923" i="34"/>
  <c r="O2924" i="34"/>
  <c r="Q2926" i="34"/>
  <c r="P2927" i="34"/>
  <c r="O2928" i="34"/>
  <c r="Q2930" i="34"/>
  <c r="P2931" i="34"/>
  <c r="O2932" i="34"/>
  <c r="Q2934" i="34"/>
  <c r="P2935" i="34"/>
  <c r="O2936" i="34"/>
  <c r="Q2938" i="34"/>
  <c r="P2939" i="34"/>
  <c r="O2940" i="34"/>
  <c r="Q2942" i="34"/>
  <c r="P2943" i="34"/>
  <c r="O2944" i="34"/>
  <c r="Q2946" i="34"/>
  <c r="P2947" i="34"/>
  <c r="O2948" i="34"/>
  <c r="Q2950" i="34"/>
  <c r="P2951" i="34"/>
  <c r="O2952" i="34"/>
  <c r="Q2954" i="34"/>
  <c r="P2955" i="34"/>
  <c r="O2956" i="34"/>
  <c r="Q2958" i="34"/>
  <c r="P2959" i="34"/>
  <c r="O2960" i="34"/>
  <c r="Q2962" i="34"/>
  <c r="P2963" i="34"/>
  <c r="O2964" i="34"/>
  <c r="Q2966" i="34"/>
  <c r="P2967" i="34"/>
  <c r="O2968" i="34"/>
  <c r="Q2970" i="34"/>
  <c r="P2971" i="34"/>
  <c r="O2972" i="34"/>
  <c r="Q2974" i="34"/>
  <c r="P2975" i="34"/>
  <c r="O2976" i="34"/>
  <c r="Q2978" i="34"/>
  <c r="P2979" i="34"/>
  <c r="O2980" i="34"/>
  <c r="Q2982" i="34"/>
  <c r="P2983" i="34"/>
  <c r="O2984" i="34"/>
  <c r="Q2986" i="34"/>
  <c r="P2987" i="34"/>
  <c r="O2988" i="34"/>
  <c r="Q2990" i="34"/>
  <c r="P2991" i="34"/>
  <c r="O2992" i="34"/>
  <c r="Q2994" i="34"/>
  <c r="P2995" i="34"/>
  <c r="O2996" i="34"/>
  <c r="Q2998" i="34"/>
  <c r="P2999" i="34"/>
  <c r="O3000" i="34"/>
  <c r="Q3002" i="34"/>
  <c r="P3003" i="34"/>
  <c r="O3004" i="34"/>
  <c r="Q3006" i="34"/>
  <c r="P3007" i="34"/>
  <c r="O3008" i="34"/>
  <c r="Q3010" i="34"/>
  <c r="P3011" i="34"/>
  <c r="O3012" i="34"/>
  <c r="Q3014" i="34"/>
  <c r="P3015" i="34"/>
  <c r="O3016" i="34"/>
  <c r="Q3018" i="34"/>
  <c r="P3019" i="34"/>
  <c r="O3020" i="34"/>
  <c r="Q3022" i="34"/>
  <c r="P3023" i="34"/>
  <c r="O3024" i="34"/>
  <c r="Q3026" i="34"/>
  <c r="P3027" i="34"/>
  <c r="O3028" i="34"/>
  <c r="Q3030" i="34"/>
  <c r="P3031" i="34"/>
  <c r="O3032" i="34"/>
  <c r="Q3034" i="34"/>
  <c r="P3035" i="34"/>
  <c r="O3036" i="34"/>
  <c r="Q3038" i="34"/>
  <c r="P3039" i="34"/>
  <c r="O3040" i="34"/>
  <c r="Q3042" i="34"/>
  <c r="P3043" i="34"/>
  <c r="O3044" i="34"/>
  <c r="Q3046" i="34"/>
  <c r="P3047" i="34"/>
  <c r="O3048" i="34"/>
  <c r="Q3050" i="34"/>
  <c r="P3051" i="34"/>
  <c r="O3052" i="34"/>
  <c r="Q3054" i="34"/>
  <c r="P3055" i="34"/>
  <c r="O3056" i="34"/>
  <c r="Q3058" i="34"/>
  <c r="P3059" i="34"/>
  <c r="O3060" i="34"/>
  <c r="Q3062" i="34"/>
  <c r="P3063" i="34"/>
  <c r="O3064" i="34"/>
  <c r="Q3066" i="34"/>
  <c r="P3067" i="34"/>
  <c r="O3068" i="34"/>
  <c r="Q3070" i="34"/>
  <c r="P3071" i="34"/>
  <c r="O3072" i="34"/>
  <c r="Q3074" i="34"/>
  <c r="P3075" i="34"/>
  <c r="O3076" i="34"/>
  <c r="Q3078" i="34"/>
  <c r="P3079" i="34"/>
  <c r="O3080" i="34"/>
  <c r="Q3082" i="34"/>
  <c r="P3083" i="34"/>
  <c r="O3084" i="34"/>
  <c r="Q3086" i="34"/>
  <c r="P3087" i="34"/>
  <c r="O3088" i="34"/>
  <c r="Q3090" i="34"/>
  <c r="P3091" i="34"/>
  <c r="O3092" i="34"/>
  <c r="Q3094" i="34"/>
  <c r="P3095" i="34"/>
  <c r="O3096" i="34"/>
  <c r="Q3098" i="34"/>
  <c r="P3099" i="34"/>
  <c r="O3100" i="34"/>
  <c r="Q3102" i="34"/>
  <c r="P3103" i="34"/>
  <c r="O3104" i="34"/>
  <c r="Q3106" i="34"/>
  <c r="P3107" i="34"/>
  <c r="O3108" i="34"/>
  <c r="Q3110" i="34"/>
  <c r="P3111" i="34"/>
  <c r="O3112" i="34"/>
  <c r="Q3114" i="34"/>
  <c r="P3115" i="34"/>
  <c r="O3116" i="34"/>
  <c r="Q3118" i="34"/>
  <c r="P3119" i="34"/>
  <c r="O3120" i="34"/>
  <c r="Q3122" i="34"/>
  <c r="P3123" i="34"/>
  <c r="O3124" i="34"/>
  <c r="Q3126" i="34"/>
  <c r="P3127" i="34"/>
  <c r="O3128" i="34"/>
  <c r="Q3130" i="34"/>
  <c r="P3131" i="34"/>
  <c r="O3132" i="34"/>
  <c r="Q3134" i="34"/>
  <c r="P3135" i="34"/>
  <c r="O3136" i="34"/>
  <c r="Q3138" i="34"/>
  <c r="P3139" i="34"/>
  <c r="O3140" i="34"/>
  <c r="Q3142" i="34"/>
  <c r="P3143" i="34"/>
  <c r="O3144" i="34"/>
  <c r="Q3146" i="34"/>
  <c r="P3147" i="34"/>
  <c r="O3148" i="34"/>
  <c r="Q3150" i="34"/>
  <c r="P3151" i="34"/>
  <c r="O3152" i="34"/>
  <c r="Q3154" i="34"/>
  <c r="P3155" i="34"/>
  <c r="O3156" i="34"/>
  <c r="Q3158" i="34"/>
  <c r="P3159" i="34"/>
  <c r="O3160" i="34"/>
  <c r="Q3162" i="34"/>
  <c r="P3163" i="34"/>
  <c r="O3164" i="34"/>
  <c r="Q3166" i="34"/>
  <c r="P3167" i="34"/>
  <c r="O3168" i="34"/>
  <c r="Q3170" i="34"/>
  <c r="P3171" i="34"/>
  <c r="O3172" i="34"/>
  <c r="Q3174" i="34"/>
  <c r="P3175" i="34"/>
  <c r="O3176" i="34"/>
  <c r="Q3178" i="34"/>
  <c r="P3179" i="34"/>
  <c r="Q2727" i="34"/>
  <c r="P2728" i="34"/>
  <c r="O2729" i="34"/>
  <c r="Q2731" i="34"/>
  <c r="P2732" i="34"/>
  <c r="O2733" i="34"/>
  <c r="Q2735" i="34"/>
  <c r="P2736" i="34"/>
  <c r="O2737" i="34"/>
  <c r="Q2739" i="34"/>
  <c r="P2740" i="34"/>
  <c r="O2741" i="34"/>
  <c r="Q2743" i="34"/>
  <c r="P2744" i="34"/>
  <c r="O2745" i="34"/>
  <c r="Q2747" i="34"/>
  <c r="P2748" i="34"/>
  <c r="O2749" i="34"/>
  <c r="Q2751" i="34"/>
  <c r="P2752" i="34"/>
  <c r="O2753" i="34"/>
  <c r="Q2755" i="34"/>
  <c r="P2756" i="34"/>
  <c r="O2757" i="34"/>
  <c r="Q2759" i="34"/>
  <c r="P2760" i="34"/>
  <c r="O2761" i="34"/>
  <c r="Q2763" i="34"/>
  <c r="P2764" i="34"/>
  <c r="O2765" i="34"/>
  <c r="Q2767" i="34"/>
  <c r="P2768" i="34"/>
  <c r="O2769" i="34"/>
  <c r="Q2771" i="34"/>
  <c r="P2772" i="34"/>
  <c r="O2773" i="34"/>
  <c r="Q2775" i="34"/>
  <c r="P2776" i="34"/>
  <c r="O2777" i="34"/>
  <c r="Q2779" i="34"/>
  <c r="P2780" i="34"/>
  <c r="O2781" i="34"/>
  <c r="Q2783" i="34"/>
  <c r="P2784" i="34"/>
  <c r="O2785" i="34"/>
  <c r="Q2787" i="34"/>
  <c r="P2788" i="34"/>
  <c r="O2789" i="34"/>
  <c r="Q2791" i="34"/>
  <c r="P2792" i="34"/>
  <c r="O2793" i="34"/>
  <c r="Q2795" i="34"/>
  <c r="P2796" i="34"/>
  <c r="O2797" i="34"/>
  <c r="Q2799" i="34"/>
  <c r="P2800" i="34"/>
  <c r="O2801" i="34"/>
  <c r="Q2803" i="34"/>
  <c r="P2804" i="34"/>
  <c r="O2805" i="34"/>
  <c r="Q2807" i="34"/>
  <c r="P2808" i="34"/>
  <c r="O2809" i="34"/>
  <c r="Q2811" i="34"/>
  <c r="P2812" i="34"/>
  <c r="O2813" i="34"/>
  <c r="Q2815" i="34"/>
  <c r="P2816" i="34"/>
  <c r="O2817" i="34"/>
  <c r="Q2819" i="34"/>
  <c r="P2820" i="34"/>
  <c r="O2821" i="34"/>
  <c r="Q2823" i="34"/>
  <c r="P2824" i="34"/>
  <c r="O2825" i="34"/>
  <c r="Q2827" i="34"/>
  <c r="P2828" i="34"/>
  <c r="O2829" i="34"/>
  <c r="Q2831" i="34"/>
  <c r="P2832" i="34"/>
  <c r="O2833" i="34"/>
  <c r="Q2835" i="34"/>
  <c r="P2836" i="34"/>
  <c r="O2837" i="34"/>
  <c r="Q2839" i="34"/>
  <c r="P2840" i="34"/>
  <c r="O2841" i="34"/>
  <c r="Q2843" i="34"/>
  <c r="P2844" i="34"/>
  <c r="O2845" i="34"/>
  <c r="Q2847" i="34"/>
  <c r="P2848" i="34"/>
  <c r="O2849" i="34"/>
  <c r="Q2851" i="34"/>
  <c r="P2852" i="34"/>
  <c r="O2853" i="34"/>
  <c r="Q2855" i="34"/>
  <c r="P2856" i="34"/>
  <c r="O2857" i="34"/>
  <c r="Q2859" i="34"/>
  <c r="P2860" i="34"/>
  <c r="O2861" i="34"/>
  <c r="Q2863" i="34"/>
  <c r="P2864" i="34"/>
  <c r="O2865" i="34"/>
  <c r="Q2867" i="34"/>
  <c r="P2868" i="34"/>
  <c r="O2869" i="34"/>
  <c r="Q2871" i="34"/>
  <c r="P2872" i="34"/>
  <c r="O2873" i="34"/>
  <c r="Q2875" i="34"/>
  <c r="P2876" i="34"/>
  <c r="O2877" i="34"/>
  <c r="Q2879" i="34"/>
  <c r="P2880" i="34"/>
  <c r="O2881" i="34"/>
  <c r="Q2883" i="34"/>
  <c r="P2884" i="34"/>
  <c r="O2885" i="34"/>
  <c r="Q2887" i="34"/>
  <c r="P2888" i="34"/>
  <c r="O2889" i="34"/>
  <c r="Q2891" i="34"/>
  <c r="P2892" i="34"/>
  <c r="O2893" i="34"/>
  <c r="Q2895" i="34"/>
  <c r="P2896" i="34"/>
  <c r="O2897" i="34"/>
  <c r="Q2899" i="34"/>
  <c r="P2900" i="34"/>
  <c r="O2901" i="34"/>
  <c r="Q2903" i="34"/>
  <c r="P2904" i="34"/>
  <c r="O2905" i="34"/>
  <c r="Q2907" i="34"/>
  <c r="P2908" i="34"/>
  <c r="O2909" i="34"/>
  <c r="Q2911" i="34"/>
  <c r="P2912" i="34"/>
  <c r="O2913" i="34"/>
  <c r="Q2915" i="34"/>
  <c r="P2916" i="34"/>
  <c r="O2917" i="34"/>
  <c r="Q2919" i="34"/>
  <c r="P2920" i="34"/>
  <c r="O2921" i="34"/>
  <c r="Q2923" i="34"/>
  <c r="P2924" i="34"/>
  <c r="O2925" i="34"/>
  <c r="Q2927" i="34"/>
  <c r="P2928" i="34"/>
  <c r="O2929" i="34"/>
  <c r="Q2931" i="34"/>
  <c r="P2932" i="34"/>
  <c r="O2933" i="34"/>
  <c r="Q2935" i="34"/>
  <c r="P2936" i="34"/>
  <c r="O2937" i="34"/>
  <c r="Q2939" i="34"/>
  <c r="P2940" i="34"/>
  <c r="O2941" i="34"/>
  <c r="Q2943" i="34"/>
  <c r="P2944" i="34"/>
  <c r="O2945" i="34"/>
  <c r="Q2947" i="34"/>
  <c r="P2948" i="34"/>
  <c r="O2949" i="34"/>
  <c r="Q2951" i="34"/>
  <c r="P2952" i="34"/>
  <c r="O2953" i="34"/>
  <c r="Q2955" i="34"/>
  <c r="P2956" i="34"/>
  <c r="O2957" i="34"/>
  <c r="Q2959" i="34"/>
  <c r="P2960" i="34"/>
  <c r="O2961" i="34"/>
  <c r="Q2963" i="34"/>
  <c r="P2964" i="34"/>
  <c r="O2965" i="34"/>
  <c r="Q2967" i="34"/>
  <c r="P2968" i="34"/>
  <c r="O2969" i="34"/>
  <c r="Q2971" i="34"/>
  <c r="P2972" i="34"/>
  <c r="O2973" i="34"/>
  <c r="Q2975" i="34"/>
  <c r="P2976" i="34"/>
  <c r="O2977" i="34"/>
  <c r="Q2979" i="34"/>
  <c r="P2980" i="34"/>
  <c r="O2981" i="34"/>
  <c r="Q2983" i="34"/>
  <c r="P2984" i="34"/>
  <c r="O2985" i="34"/>
  <c r="Q2987" i="34"/>
  <c r="P2988" i="34"/>
  <c r="O2989" i="34"/>
  <c r="Q2991" i="34"/>
  <c r="P2992" i="34"/>
  <c r="O2993" i="34"/>
  <c r="Q2995" i="34"/>
  <c r="P2996" i="34"/>
  <c r="O2997" i="34"/>
  <c r="Q2999" i="34"/>
  <c r="P3000" i="34"/>
  <c r="O3001" i="34"/>
  <c r="Q3003" i="34"/>
  <c r="P3004" i="34"/>
  <c r="O3005" i="34"/>
  <c r="Q3007" i="34"/>
  <c r="P3008" i="34"/>
  <c r="O3009" i="34"/>
  <c r="Q3011" i="34"/>
  <c r="P3012" i="34"/>
  <c r="O3013" i="34"/>
  <c r="Q3015" i="34"/>
  <c r="P3016" i="34"/>
  <c r="O3017" i="34"/>
  <c r="Q3019" i="34"/>
  <c r="P3020" i="34"/>
  <c r="O3021" i="34"/>
  <c r="Q3023" i="34"/>
  <c r="P3024" i="34"/>
  <c r="O3025" i="34"/>
  <c r="Q3027" i="34"/>
  <c r="P3028" i="34"/>
  <c r="O3029" i="34"/>
  <c r="Q3031" i="34"/>
  <c r="P3032" i="34"/>
  <c r="O3033" i="34"/>
  <c r="Q3035" i="34"/>
  <c r="P3036" i="34"/>
  <c r="O3037" i="34"/>
  <c r="Q3039" i="34"/>
  <c r="P3040" i="34"/>
  <c r="O3041" i="34"/>
  <c r="Q3043" i="34"/>
  <c r="P3044" i="34"/>
  <c r="O3045" i="34"/>
  <c r="Q3047" i="34"/>
  <c r="P3048" i="34"/>
  <c r="O3049" i="34"/>
  <c r="Q3051" i="34"/>
  <c r="P3052" i="34"/>
  <c r="O3053" i="34"/>
  <c r="Q3055" i="34"/>
  <c r="P3056" i="34"/>
  <c r="O3057" i="34"/>
  <c r="Q3059" i="34"/>
  <c r="P3060" i="34"/>
  <c r="O3061" i="34"/>
  <c r="Q3063" i="34"/>
  <c r="P3064" i="34"/>
  <c r="O3065" i="34"/>
  <c r="Q3067" i="34"/>
  <c r="P3068" i="34"/>
  <c r="O3069" i="34"/>
  <c r="Q3071" i="34"/>
  <c r="P3072" i="34"/>
  <c r="O3073" i="34"/>
  <c r="Q3075" i="34"/>
  <c r="P3076" i="34"/>
  <c r="O3077" i="34"/>
  <c r="Q3079" i="34"/>
  <c r="P3080" i="34"/>
  <c r="O3081" i="34"/>
  <c r="Q3083" i="34"/>
  <c r="P3084" i="34"/>
  <c r="O3085" i="34"/>
  <c r="Q3087" i="34"/>
  <c r="P3088" i="34"/>
  <c r="O3089" i="34"/>
  <c r="Q3091" i="34"/>
  <c r="P3092" i="34"/>
  <c r="O3093" i="34"/>
  <c r="Q3095" i="34"/>
  <c r="P3096" i="34"/>
  <c r="O3097" i="34"/>
  <c r="Q3099" i="34"/>
  <c r="P3100" i="34"/>
  <c r="O3101" i="34"/>
  <c r="Q3103" i="34"/>
  <c r="P3104" i="34"/>
  <c r="O3105" i="34"/>
  <c r="Q3107" i="34"/>
  <c r="P3108" i="34"/>
  <c r="O3109" i="34"/>
  <c r="Q3111" i="34"/>
  <c r="P3112" i="34"/>
  <c r="O3113" i="34"/>
  <c r="Q3115" i="34"/>
  <c r="P3116" i="34"/>
  <c r="O3117" i="34"/>
  <c r="Q3119" i="34"/>
  <c r="P3120" i="34"/>
  <c r="O3121" i="34"/>
  <c r="Q3123" i="34"/>
  <c r="P3124" i="34"/>
  <c r="O3125" i="34"/>
  <c r="Q3127" i="34"/>
  <c r="P3128" i="34"/>
  <c r="O3129" i="34"/>
  <c r="Q3131" i="34"/>
  <c r="P3132" i="34"/>
  <c r="O3133" i="34"/>
  <c r="Q3135" i="34"/>
  <c r="P3136" i="34"/>
  <c r="O3137" i="34"/>
  <c r="Q3139" i="34"/>
  <c r="P3140" i="34"/>
  <c r="O3141" i="34"/>
  <c r="Q3143" i="34"/>
  <c r="P3144" i="34"/>
  <c r="O3145" i="34"/>
  <c r="Q3147" i="34"/>
  <c r="P3148" i="34"/>
  <c r="O3149" i="34"/>
  <c r="Q3151" i="34"/>
  <c r="P3152" i="34"/>
  <c r="O3153" i="34"/>
  <c r="Q3155" i="34"/>
  <c r="P3156" i="34"/>
  <c r="O3157" i="34"/>
  <c r="Q3159" i="34"/>
  <c r="P3160" i="34"/>
  <c r="O3161" i="34"/>
  <c r="Q3163" i="34"/>
  <c r="P3164" i="34"/>
  <c r="O3165" i="34"/>
  <c r="Q3167" i="34"/>
  <c r="P3168" i="34"/>
  <c r="O3169" i="34"/>
  <c r="Q3171" i="34"/>
  <c r="P3172" i="34"/>
  <c r="O3173" i="34"/>
  <c r="Q3175" i="34"/>
  <c r="P3176" i="34"/>
  <c r="O3177" i="34"/>
  <c r="Q3179" i="34"/>
  <c r="P3180" i="34"/>
  <c r="Q2728" i="34"/>
  <c r="P2729" i="34"/>
  <c r="O2730" i="34"/>
  <c r="Q2732" i="34"/>
  <c r="P2733" i="34"/>
  <c r="O2734" i="34"/>
  <c r="Q2736" i="34"/>
  <c r="P2737" i="34"/>
  <c r="O2738" i="34"/>
  <c r="Q2740" i="34"/>
  <c r="P2741" i="34"/>
  <c r="O2742" i="34"/>
  <c r="Q2744" i="34"/>
  <c r="P2745" i="34"/>
  <c r="O2746" i="34"/>
  <c r="Q2748" i="34"/>
  <c r="P2749" i="34"/>
  <c r="O2750" i="34"/>
  <c r="Q2752" i="34"/>
  <c r="P2753" i="34"/>
  <c r="O2754" i="34"/>
  <c r="Q2756" i="34"/>
  <c r="P2757" i="34"/>
  <c r="O2758" i="34"/>
  <c r="Q2760" i="34"/>
  <c r="P2761" i="34"/>
  <c r="O2762" i="34"/>
  <c r="Q2764" i="34"/>
  <c r="P2765" i="34"/>
  <c r="O2766" i="34"/>
  <c r="Q2768" i="34"/>
  <c r="P2769" i="34"/>
  <c r="O2770" i="34"/>
  <c r="Q2772" i="34"/>
  <c r="P2773" i="34"/>
  <c r="O2774" i="34"/>
  <c r="Q2776" i="34"/>
  <c r="P2777" i="34"/>
  <c r="O2778" i="34"/>
  <c r="Q2780" i="34"/>
  <c r="P2781" i="34"/>
  <c r="O2782" i="34"/>
  <c r="Q2784" i="34"/>
  <c r="P2785" i="34"/>
  <c r="O2786" i="34"/>
  <c r="Q2788" i="34"/>
  <c r="P2789" i="34"/>
  <c r="O2790" i="34"/>
  <c r="Q2792" i="34"/>
  <c r="P2793" i="34"/>
  <c r="O2794" i="34"/>
  <c r="Q2796" i="34"/>
  <c r="P2797" i="34"/>
  <c r="O2798" i="34"/>
  <c r="Q2800" i="34"/>
  <c r="P2801" i="34"/>
  <c r="O2802" i="34"/>
  <c r="Q2804" i="34"/>
  <c r="P2805" i="34"/>
  <c r="O2806" i="34"/>
  <c r="Q2808" i="34"/>
  <c r="P2809" i="34"/>
  <c r="O2810" i="34"/>
  <c r="Q2812" i="34"/>
  <c r="P2813" i="34"/>
  <c r="O2814" i="34"/>
  <c r="Q2816" i="34"/>
  <c r="P2817" i="34"/>
  <c r="O2818" i="34"/>
  <c r="Q2820" i="34"/>
  <c r="P2821" i="34"/>
  <c r="O2822" i="34"/>
  <c r="Q2824" i="34"/>
  <c r="P2825" i="34"/>
  <c r="O2826" i="34"/>
  <c r="Q2828" i="34"/>
  <c r="P2829" i="34"/>
  <c r="O2830" i="34"/>
  <c r="Q2832" i="34"/>
  <c r="P2833" i="34"/>
  <c r="O2834" i="34"/>
  <c r="Q2836" i="34"/>
  <c r="P2837" i="34"/>
  <c r="O2838" i="34"/>
  <c r="Q2840" i="34"/>
  <c r="P2841" i="34"/>
  <c r="O2842" i="34"/>
  <c r="Q2844" i="34"/>
  <c r="P2845" i="34"/>
  <c r="O2846" i="34"/>
  <c r="Q2848" i="34"/>
  <c r="P2849" i="34"/>
  <c r="O2850" i="34"/>
  <c r="Q2852" i="34"/>
  <c r="P2853" i="34"/>
  <c r="O2854" i="34"/>
  <c r="Q2856" i="34"/>
  <c r="P2857" i="34"/>
  <c r="O2858" i="34"/>
  <c r="Q2860" i="34"/>
  <c r="P2861" i="34"/>
  <c r="O2862" i="34"/>
  <c r="Q2864" i="34"/>
  <c r="P2865" i="34"/>
  <c r="O2866" i="34"/>
  <c r="Q2868" i="34"/>
  <c r="P2869" i="34"/>
  <c r="O2870" i="34"/>
  <c r="Q2872" i="34"/>
  <c r="P2873" i="34"/>
  <c r="O2874" i="34"/>
  <c r="Q2876" i="34"/>
  <c r="P2877" i="34"/>
  <c r="O2878" i="34"/>
  <c r="Q2880" i="34"/>
  <c r="P2881" i="34"/>
  <c r="O2882" i="34"/>
  <c r="Q2884" i="34"/>
  <c r="P2885" i="34"/>
  <c r="O2886" i="34"/>
  <c r="Q2888" i="34"/>
  <c r="P2889" i="34"/>
  <c r="O2890" i="34"/>
  <c r="Q2892" i="34"/>
  <c r="P2893" i="34"/>
  <c r="O2894" i="34"/>
  <c r="Q2896" i="34"/>
  <c r="P2897" i="34"/>
  <c r="O2898" i="34"/>
  <c r="Q2900" i="34"/>
  <c r="P2901" i="34"/>
  <c r="O2902" i="34"/>
  <c r="Q2904" i="34"/>
  <c r="P2905" i="34"/>
  <c r="O2906" i="34"/>
  <c r="Q2908" i="34"/>
  <c r="P2909" i="34"/>
  <c r="O2910" i="34"/>
  <c r="Q2912" i="34"/>
  <c r="P2913" i="34"/>
  <c r="O2914" i="34"/>
  <c r="Q2916" i="34"/>
  <c r="P2917" i="34"/>
  <c r="O2918" i="34"/>
  <c r="Q2920" i="34"/>
  <c r="P2921" i="34"/>
  <c r="O2922" i="34"/>
  <c r="Q2924" i="34"/>
  <c r="P2925" i="34"/>
  <c r="O2926" i="34"/>
  <c r="Q2928" i="34"/>
  <c r="P2929" i="34"/>
  <c r="O2930" i="34"/>
  <c r="Q2932" i="34"/>
  <c r="P2933" i="34"/>
  <c r="O2934" i="34"/>
  <c r="Q2936" i="34"/>
  <c r="P2937" i="34"/>
  <c r="O2938" i="34"/>
  <c r="Q2940" i="34"/>
  <c r="P2941" i="34"/>
  <c r="O2942" i="34"/>
  <c r="Q2944" i="34"/>
  <c r="P2945" i="34"/>
  <c r="O2946" i="34"/>
  <c r="Q2948" i="34"/>
  <c r="P2949" i="34"/>
  <c r="O2950" i="34"/>
  <c r="Q2952" i="34"/>
  <c r="P2953" i="34"/>
  <c r="O2954" i="34"/>
  <c r="Q2956" i="34"/>
  <c r="P2957" i="34"/>
  <c r="O2958" i="34"/>
  <c r="Q2960" i="34"/>
  <c r="P2961" i="34"/>
  <c r="O2962" i="34"/>
  <c r="Q2964" i="34"/>
  <c r="P2965" i="34"/>
  <c r="O2966" i="34"/>
  <c r="Q2968" i="34"/>
  <c r="P2969" i="34"/>
  <c r="O2970" i="34"/>
  <c r="Q2972" i="34"/>
  <c r="P2973" i="34"/>
  <c r="O2974" i="34"/>
  <c r="Q2976" i="34"/>
  <c r="P2977" i="34"/>
  <c r="O2978" i="34"/>
  <c r="Q2980" i="34"/>
  <c r="P2981" i="34"/>
  <c r="O2982" i="34"/>
  <c r="Q2984" i="34"/>
  <c r="P2985" i="34"/>
  <c r="O2986" i="34"/>
  <c r="Q2988" i="34"/>
  <c r="P2989" i="34"/>
  <c r="O2990" i="34"/>
  <c r="Q2992" i="34"/>
  <c r="P2993" i="34"/>
  <c r="O2994" i="34"/>
  <c r="Q2996" i="34"/>
  <c r="P2997" i="34"/>
  <c r="O2998" i="34"/>
  <c r="Q3000" i="34"/>
  <c r="P3001" i="34"/>
  <c r="O3002" i="34"/>
  <c r="Q3004" i="34"/>
  <c r="P3005" i="34"/>
  <c r="O3006" i="34"/>
  <c r="Q3008" i="34"/>
  <c r="P3009" i="34"/>
  <c r="O3010" i="34"/>
  <c r="Q3012" i="34"/>
  <c r="P3013" i="34"/>
  <c r="O3014" i="34"/>
  <c r="Q3016" i="34"/>
  <c r="P3017" i="34"/>
  <c r="O3018" i="34"/>
  <c r="Q3020" i="34"/>
  <c r="P3021" i="34"/>
  <c r="O3022" i="34"/>
  <c r="Q3024" i="34"/>
  <c r="P3025" i="34"/>
  <c r="O3026" i="34"/>
  <c r="Q3028" i="34"/>
  <c r="P3029" i="34"/>
  <c r="O3030" i="34"/>
  <c r="Q3032" i="34"/>
  <c r="P3033" i="34"/>
  <c r="O3034" i="34"/>
  <c r="Q3036" i="34"/>
  <c r="P3037" i="34"/>
  <c r="O3038" i="34"/>
  <c r="Q3040" i="34"/>
  <c r="P3041" i="34"/>
  <c r="O3042" i="34"/>
  <c r="Q3044" i="34"/>
  <c r="P3045" i="34"/>
  <c r="O3046" i="34"/>
  <c r="Q3048" i="34"/>
  <c r="P3049" i="34"/>
  <c r="O3050" i="34"/>
  <c r="Q3052" i="34"/>
  <c r="P3053" i="34"/>
  <c r="O3054" i="34"/>
  <c r="Q3056" i="34"/>
  <c r="P3057" i="34"/>
  <c r="O3058" i="34"/>
  <c r="Q3060" i="34"/>
  <c r="P3061" i="34"/>
  <c r="O3062" i="34"/>
  <c r="Q3064" i="34"/>
  <c r="P3065" i="34"/>
  <c r="O3066" i="34"/>
  <c r="Q3068" i="34"/>
  <c r="P3069" i="34"/>
  <c r="O3070" i="34"/>
  <c r="Q3072" i="34"/>
  <c r="P3073" i="34"/>
  <c r="O3074" i="34"/>
  <c r="Q3076" i="34"/>
  <c r="P3077" i="34"/>
  <c r="O3078" i="34"/>
  <c r="Q3080" i="34"/>
  <c r="P3081" i="34"/>
  <c r="O3082" i="34"/>
  <c r="Q3084" i="34"/>
  <c r="P3085" i="34"/>
  <c r="O3086" i="34"/>
  <c r="Q3088" i="34"/>
  <c r="P3089" i="34"/>
  <c r="O3090" i="34"/>
  <c r="Q3092" i="34"/>
  <c r="P3093" i="34"/>
  <c r="O3094" i="34"/>
  <c r="Q3096" i="34"/>
  <c r="P3097" i="34"/>
  <c r="O3098" i="34"/>
  <c r="Q3100" i="34"/>
  <c r="P3101" i="34"/>
  <c r="O3102" i="34"/>
  <c r="Q3104" i="34"/>
  <c r="P3105" i="34"/>
  <c r="O3106" i="34"/>
  <c r="Q3108" i="34"/>
  <c r="P3109" i="34"/>
  <c r="O3110" i="34"/>
  <c r="Q3112" i="34"/>
  <c r="P3113" i="34"/>
  <c r="O3114" i="34"/>
  <c r="Q3116" i="34"/>
  <c r="P3117" i="34"/>
  <c r="O3118" i="34"/>
  <c r="Q3120" i="34"/>
  <c r="P3121" i="34"/>
  <c r="O3122" i="34"/>
  <c r="Q3124" i="34"/>
  <c r="P3125" i="34"/>
  <c r="O3126" i="34"/>
  <c r="Q3128" i="34"/>
  <c r="P3129" i="34"/>
  <c r="O3130" i="34"/>
  <c r="Q3132" i="34"/>
  <c r="P3133" i="34"/>
  <c r="O3134" i="34"/>
  <c r="Q3136" i="34"/>
  <c r="P3137" i="34"/>
  <c r="O3138" i="34"/>
  <c r="Q3140" i="34"/>
  <c r="P3141" i="34"/>
  <c r="O3142" i="34"/>
  <c r="Q3144" i="34"/>
  <c r="P3145" i="34"/>
  <c r="O3146" i="34"/>
  <c r="Q3148" i="34"/>
  <c r="P3149" i="34"/>
  <c r="O3150" i="34"/>
  <c r="Q3152" i="34"/>
  <c r="P3153" i="34"/>
  <c r="O3154" i="34"/>
  <c r="Q3156" i="34"/>
  <c r="P3157" i="34"/>
  <c r="O3158" i="34"/>
  <c r="Q3160" i="34"/>
  <c r="P3161" i="34"/>
  <c r="O3162" i="34"/>
  <c r="Q3164" i="34"/>
  <c r="P3165" i="34"/>
  <c r="O3166" i="34"/>
  <c r="Q3168" i="34"/>
  <c r="P3169" i="34"/>
  <c r="O3170" i="34"/>
  <c r="Q3172" i="34"/>
  <c r="P3173" i="34"/>
  <c r="O3174" i="34"/>
  <c r="Q3176" i="34"/>
  <c r="P3177" i="34"/>
  <c r="O3178" i="34"/>
  <c r="Q3180" i="34"/>
  <c r="P3181" i="34"/>
  <c r="Q3185" i="34"/>
  <c r="P3186" i="34"/>
  <c r="O3187" i="34"/>
  <c r="Q3189" i="34"/>
  <c r="P3190" i="34"/>
  <c r="O3191" i="34"/>
  <c r="Q3193" i="34"/>
  <c r="P3194" i="34"/>
  <c r="O3195" i="34"/>
  <c r="Q3197" i="34"/>
  <c r="P3198" i="34"/>
  <c r="O3199" i="34"/>
  <c r="Q3201" i="34"/>
  <c r="P3202" i="34"/>
  <c r="O3203" i="34"/>
  <c r="Q3205" i="34"/>
  <c r="P3206" i="34"/>
  <c r="O3207" i="34"/>
  <c r="Q3209" i="34"/>
  <c r="P3210" i="34"/>
  <c r="O3211" i="34"/>
  <c r="Q3213" i="34"/>
  <c r="P3214" i="34"/>
  <c r="O3215" i="34"/>
  <c r="Q3217" i="34"/>
  <c r="P3218" i="34"/>
  <c r="O3219" i="34"/>
  <c r="Q3221" i="34"/>
  <c r="P3222" i="34"/>
  <c r="O3223" i="34"/>
  <c r="Q3225" i="34"/>
  <c r="P3226" i="34"/>
  <c r="O3227" i="34"/>
  <c r="Q3229" i="34"/>
  <c r="P3230" i="34"/>
  <c r="O3231" i="34"/>
  <c r="Q3233" i="34"/>
  <c r="P3234" i="34"/>
  <c r="O3235" i="34"/>
  <c r="Q3237" i="34"/>
  <c r="P3238" i="34"/>
  <c r="O3239" i="34"/>
  <c r="Q3241" i="34"/>
  <c r="P3242" i="34"/>
  <c r="O3243" i="34"/>
  <c r="Q3245" i="34"/>
  <c r="P3246" i="34"/>
  <c r="O3247" i="34"/>
  <c r="Q3249" i="34"/>
  <c r="P3250" i="34"/>
  <c r="O3251" i="34"/>
  <c r="Q3253" i="34"/>
  <c r="P3254" i="34"/>
  <c r="O3255" i="34"/>
  <c r="Q3257" i="34"/>
  <c r="P3258" i="34"/>
  <c r="O3259" i="34"/>
  <c r="Q3261" i="34"/>
  <c r="P3262" i="34"/>
  <c r="O3263" i="34"/>
  <c r="Q3265" i="34"/>
  <c r="P3266" i="34"/>
  <c r="O3267" i="34"/>
  <c r="Q3269" i="34"/>
  <c r="P3270" i="34"/>
  <c r="O3271" i="34"/>
  <c r="Q3273" i="34"/>
  <c r="P3274" i="34"/>
  <c r="O3275" i="34"/>
  <c r="Q3277" i="34"/>
  <c r="P3278" i="34"/>
  <c r="O3279" i="34"/>
  <c r="Q3281" i="34"/>
  <c r="P3282" i="34"/>
  <c r="O3283" i="34"/>
  <c r="Q3285" i="34"/>
  <c r="P3286" i="34"/>
  <c r="O3287" i="34"/>
  <c r="Q3289" i="34"/>
  <c r="P3290" i="34"/>
  <c r="O3291" i="34"/>
  <c r="Q3293" i="34"/>
  <c r="P3294" i="34"/>
  <c r="O3295" i="34"/>
  <c r="Q3297" i="34"/>
  <c r="P3298" i="34"/>
  <c r="O3299" i="34"/>
  <c r="O3182" i="34"/>
  <c r="P3183" i="34"/>
  <c r="O3184" i="34"/>
  <c r="Q3186" i="34"/>
  <c r="P3187" i="34"/>
  <c r="O3188" i="34"/>
  <c r="Q3190" i="34"/>
  <c r="P3191" i="34"/>
  <c r="O3192" i="34"/>
  <c r="Q3194" i="34"/>
  <c r="P3195" i="34"/>
  <c r="O3196" i="34"/>
  <c r="Q3198" i="34"/>
  <c r="P3199" i="34"/>
  <c r="O3200" i="34"/>
  <c r="Q3202" i="34"/>
  <c r="P3203" i="34"/>
  <c r="O3204" i="34"/>
  <c r="Q3206" i="34"/>
  <c r="P3207" i="34"/>
  <c r="O3208" i="34"/>
  <c r="Q3210" i="34"/>
  <c r="P3211" i="34"/>
  <c r="O3212" i="34"/>
  <c r="Q3214" i="34"/>
  <c r="P3215" i="34"/>
  <c r="O3216" i="34"/>
  <c r="Q3218" i="34"/>
  <c r="P3219" i="34"/>
  <c r="O3220" i="34"/>
  <c r="Q3222" i="34"/>
  <c r="P3223" i="34"/>
  <c r="O3224" i="34"/>
  <c r="Q3226" i="34"/>
  <c r="P3227" i="34"/>
  <c r="O3228" i="34"/>
  <c r="Q3230" i="34"/>
  <c r="P3231" i="34"/>
  <c r="O3232" i="34"/>
  <c r="Q3234" i="34"/>
  <c r="P3235" i="34"/>
  <c r="O3236" i="34"/>
  <c r="Q3238" i="34"/>
  <c r="P3239" i="34"/>
  <c r="O3240" i="34"/>
  <c r="Q3242" i="34"/>
  <c r="P3243" i="34"/>
  <c r="O3244" i="34"/>
  <c r="Q3246" i="34"/>
  <c r="P3247" i="34"/>
  <c r="O3248" i="34"/>
  <c r="Q3250" i="34"/>
  <c r="P3251" i="34"/>
  <c r="O3252" i="34"/>
  <c r="Q3254" i="34"/>
  <c r="P3255" i="34"/>
  <c r="O3256" i="34"/>
  <c r="Q3258" i="34"/>
  <c r="P3259" i="34"/>
  <c r="O3260" i="34"/>
  <c r="Q3262" i="34"/>
  <c r="P3263" i="34"/>
  <c r="O3264" i="34"/>
  <c r="Q3266" i="34"/>
  <c r="P3267" i="34"/>
  <c r="O3268" i="34"/>
  <c r="Q3270" i="34"/>
  <c r="P3271" i="34"/>
  <c r="O3272" i="34"/>
  <c r="Q3274" i="34"/>
  <c r="P3275" i="34"/>
  <c r="O3276" i="34"/>
  <c r="Q3278" i="34"/>
  <c r="P3279" i="34"/>
  <c r="O3280" i="34"/>
  <c r="Q3282" i="34"/>
  <c r="P3283" i="34"/>
  <c r="O3284" i="34"/>
  <c r="Q3286" i="34"/>
  <c r="P3287" i="34"/>
  <c r="O3288" i="34"/>
  <c r="Q3290" i="34"/>
  <c r="P3291" i="34"/>
  <c r="O3292" i="34"/>
  <c r="Q3294" i="34"/>
  <c r="P3295" i="34"/>
  <c r="O3296" i="34"/>
  <c r="Q3298" i="34"/>
  <c r="P3299" i="34"/>
  <c r="O3300" i="34"/>
  <c r="O3181" i="34"/>
  <c r="Q3182" i="34"/>
  <c r="Q3183" i="34"/>
  <c r="P3184" i="34"/>
  <c r="O3185" i="34"/>
  <c r="Q3187" i="34"/>
  <c r="P3188" i="34"/>
  <c r="O3189" i="34"/>
  <c r="Q3191" i="34"/>
  <c r="P3192" i="34"/>
  <c r="O3193" i="34"/>
  <c r="Q3195" i="34"/>
  <c r="P3196" i="34"/>
  <c r="O3197" i="34"/>
  <c r="Q3199" i="34"/>
  <c r="P3200" i="34"/>
  <c r="O3201" i="34"/>
  <c r="Q3203" i="34"/>
  <c r="P3204" i="34"/>
  <c r="O3205" i="34"/>
  <c r="Q3207" i="34"/>
  <c r="P3208" i="34"/>
  <c r="O3209" i="34"/>
  <c r="Q3211" i="34"/>
  <c r="P3212" i="34"/>
  <c r="O3213" i="34"/>
  <c r="Q3215" i="34"/>
  <c r="P3216" i="34"/>
  <c r="O3217" i="34"/>
  <c r="Q3219" i="34"/>
  <c r="P3220" i="34"/>
  <c r="O3221" i="34"/>
  <c r="Q3223" i="34"/>
  <c r="P3224" i="34"/>
  <c r="O3225" i="34"/>
  <c r="Q3227" i="34"/>
  <c r="P3228" i="34"/>
  <c r="O3229" i="34"/>
  <c r="Q3231" i="34"/>
  <c r="P3232" i="34"/>
  <c r="O3233" i="34"/>
  <c r="Q3235" i="34"/>
  <c r="P3236" i="34"/>
  <c r="O3237" i="34"/>
  <c r="Q3239" i="34"/>
  <c r="P3240" i="34"/>
  <c r="O3241" i="34"/>
  <c r="Q3243" i="34"/>
  <c r="P3244" i="34"/>
  <c r="O3245" i="34"/>
  <c r="Q3247" i="34"/>
  <c r="P3248" i="34"/>
  <c r="O3249" i="34"/>
  <c r="Q3251" i="34"/>
  <c r="P3252" i="34"/>
  <c r="O3253" i="34"/>
  <c r="Q3255" i="34"/>
  <c r="P3256" i="34"/>
  <c r="O3257" i="34"/>
  <c r="Q3259" i="34"/>
  <c r="P3260" i="34"/>
  <c r="O3261" i="34"/>
  <c r="Q3263" i="34"/>
  <c r="P3264" i="34"/>
  <c r="O3265" i="34"/>
  <c r="Q3267" i="34"/>
  <c r="P3268" i="34"/>
  <c r="O3269" i="34"/>
  <c r="Q3271" i="34"/>
  <c r="P3272" i="34"/>
  <c r="O3273" i="34"/>
  <c r="Q3275" i="34"/>
  <c r="P3276" i="34"/>
  <c r="O3277" i="34"/>
  <c r="Q3279" i="34"/>
  <c r="P3280" i="34"/>
  <c r="O3281" i="34"/>
  <c r="Q3283" i="34"/>
  <c r="P3284" i="34"/>
  <c r="O3285" i="34"/>
  <c r="Q3287" i="34"/>
  <c r="P3288" i="34"/>
  <c r="O3289" i="34"/>
  <c r="Q3291" i="34"/>
  <c r="P3292" i="34"/>
  <c r="O3293" i="34"/>
  <c r="Q3295" i="34"/>
  <c r="P3296" i="34"/>
  <c r="O3297" i="34"/>
  <c r="Q3299" i="34"/>
  <c r="P3300" i="34"/>
  <c r="O3180" i="34"/>
  <c r="Q3184" i="34"/>
  <c r="P3185" i="34"/>
  <c r="O3186" i="34"/>
  <c r="Q3188" i="34"/>
  <c r="P3189" i="34"/>
  <c r="O3190" i="34"/>
  <c r="Q3192" i="34"/>
  <c r="P3193" i="34"/>
  <c r="O3194" i="34"/>
  <c r="Q3196" i="34"/>
  <c r="P3197" i="34"/>
  <c r="O3198" i="34"/>
  <c r="Q3200" i="34"/>
  <c r="P3201" i="34"/>
  <c r="O3202" i="34"/>
  <c r="Q3204" i="34"/>
  <c r="P3205" i="34"/>
  <c r="O3206" i="34"/>
  <c r="Q3208" i="34"/>
  <c r="P3209" i="34"/>
  <c r="O3210" i="34"/>
  <c r="Q3212" i="34"/>
  <c r="P3213" i="34"/>
  <c r="O3214" i="34"/>
  <c r="Q3216" i="34"/>
  <c r="P3217" i="34"/>
  <c r="O3218" i="34"/>
  <c r="Q3220" i="34"/>
  <c r="P3221" i="34"/>
  <c r="O3222" i="34"/>
  <c r="Q3224" i="34"/>
  <c r="P3225" i="34"/>
  <c r="O3226" i="34"/>
  <c r="Q3228" i="34"/>
  <c r="P3229" i="34"/>
  <c r="O3230" i="34"/>
  <c r="Q3232" i="34"/>
  <c r="P3233" i="34"/>
  <c r="O3234" i="34"/>
  <c r="Q3236" i="34"/>
  <c r="P3237" i="34"/>
  <c r="O3238" i="34"/>
  <c r="Q3240" i="34"/>
  <c r="P3241" i="34"/>
  <c r="O3242" i="34"/>
  <c r="Q3244" i="34"/>
  <c r="P3245" i="34"/>
  <c r="O3246" i="34"/>
  <c r="Q3248" i="34"/>
  <c r="P3249" i="34"/>
  <c r="O3250" i="34"/>
  <c r="Q3252" i="34"/>
  <c r="P3253" i="34"/>
  <c r="O3254" i="34"/>
  <c r="Q3256" i="34"/>
  <c r="P3257" i="34"/>
  <c r="O3258" i="34"/>
  <c r="Q3260" i="34"/>
  <c r="P3261" i="34"/>
  <c r="O3262" i="34"/>
  <c r="Q3264" i="34"/>
  <c r="P3265" i="34"/>
  <c r="O3266" i="34"/>
  <c r="Q3268" i="34"/>
  <c r="P3269" i="34"/>
  <c r="O3270" i="34"/>
  <c r="Q3272" i="34"/>
  <c r="P3273" i="34"/>
  <c r="O3274" i="34"/>
  <c r="Q3276" i="34"/>
  <c r="P3277" i="34"/>
  <c r="O3278" i="34"/>
  <c r="Q3280" i="34"/>
  <c r="P3281" i="34"/>
  <c r="O3282" i="34"/>
  <c r="Q3284" i="34"/>
  <c r="P3285" i="34"/>
  <c r="O3286" i="34"/>
  <c r="Q3288" i="34"/>
  <c r="P3289" i="34"/>
  <c r="O3290" i="34"/>
  <c r="Q3292" i="34"/>
  <c r="P3293" i="34"/>
  <c r="O3294" i="34"/>
  <c r="Q3296" i="34"/>
  <c r="P3297" i="34"/>
  <c r="O3298" i="34"/>
  <c r="Q33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59" i="34" l="1"/>
  <c r="B160" i="34"/>
  <c r="B23" i="34"/>
  <c r="B24" i="34"/>
  <c r="B25" i="34"/>
  <c r="B26" i="34"/>
  <c r="B104" i="34"/>
  <c r="B105" i="34"/>
  <c r="B175" i="34"/>
  <c r="B176" i="34"/>
  <c r="Q105" i="34" l="1"/>
  <c r="U105" i="34"/>
  <c r="Z105" i="34"/>
  <c r="P105" i="34"/>
  <c r="O105" i="34"/>
  <c r="A105" i="34"/>
  <c r="Q24" i="34"/>
  <c r="U24" i="34"/>
  <c r="Z24" i="34"/>
  <c r="O24" i="34"/>
  <c r="P24" i="34"/>
  <c r="A24" i="34"/>
  <c r="Q104" i="34"/>
  <c r="U104" i="34"/>
  <c r="Z104" i="34"/>
  <c r="O104" i="34"/>
  <c r="P104" i="34"/>
  <c r="A104" i="34"/>
  <c r="Q23" i="34"/>
  <c r="U23" i="34"/>
  <c r="Z23" i="34"/>
  <c r="O23" i="34"/>
  <c r="P23" i="34"/>
  <c r="A23" i="34"/>
  <c r="Q176" i="34"/>
  <c r="U176" i="34"/>
  <c r="Z176" i="34"/>
  <c r="O176" i="34"/>
  <c r="P176" i="34"/>
  <c r="A176" i="34"/>
  <c r="Q26" i="34"/>
  <c r="U26" i="34"/>
  <c r="Z26" i="34"/>
  <c r="P26" i="34"/>
  <c r="O26" i="34"/>
  <c r="A26" i="34"/>
  <c r="Q160" i="34"/>
  <c r="U160" i="34"/>
  <c r="Z160" i="34"/>
  <c r="O160" i="34"/>
  <c r="P160" i="34"/>
  <c r="A160" i="34"/>
  <c r="Q175" i="34"/>
  <c r="U175" i="34"/>
  <c r="Z175" i="34"/>
  <c r="O175" i="34"/>
  <c r="P175" i="34"/>
  <c r="A175" i="34"/>
  <c r="Q25" i="34"/>
  <c r="U25" i="34"/>
  <c r="Z25" i="34"/>
  <c r="O25" i="34"/>
  <c r="P25" i="34"/>
  <c r="A25" i="34"/>
  <c r="P159" i="34"/>
  <c r="Q159" i="34"/>
  <c r="U159" i="34"/>
  <c r="Z159" i="34"/>
  <c r="O159" i="34"/>
  <c r="A159" i="34"/>
  <c r="B87" i="34"/>
  <c r="B88" i="34"/>
  <c r="B89" i="34"/>
  <c r="B90" i="34"/>
  <c r="B91" i="34"/>
  <c r="B130" i="34"/>
  <c r="B131" i="34"/>
  <c r="B132" i="34"/>
  <c r="B133" i="34"/>
  <c r="B78" i="34"/>
  <c r="B79" i="34"/>
  <c r="B80" i="34"/>
  <c r="B81" i="34"/>
  <c r="B82" i="34"/>
  <c r="B83" i="34"/>
  <c r="B84" i="34"/>
  <c r="B85" i="34"/>
  <c r="B86" i="34"/>
  <c r="B77" i="34"/>
  <c r="B1327" i="34"/>
  <c r="B76" i="34"/>
  <c r="B1008" i="34"/>
  <c r="B1007" i="34"/>
  <c r="B251" i="34"/>
  <c r="B250" i="34"/>
  <c r="B249" i="34"/>
  <c r="B248" i="34"/>
  <c r="B247" i="34"/>
  <c r="B188" i="34"/>
  <c r="B179" i="34"/>
  <c r="B178" i="34"/>
  <c r="B165" i="34"/>
  <c r="B1326" i="34"/>
  <c r="B656" i="34"/>
  <c r="B657" i="34"/>
  <c r="B146" i="34"/>
  <c r="B147" i="34"/>
  <c r="B262" i="34"/>
  <c r="B263" i="34"/>
  <c r="B186" i="34"/>
  <c r="B187" i="34"/>
  <c r="B70" i="34"/>
  <c r="B71" i="34"/>
  <c r="B161" i="34"/>
  <c r="B162" i="34"/>
  <c r="B163" i="34"/>
  <c r="B164" i="34"/>
  <c r="B67" i="34"/>
  <c r="B55" i="34"/>
  <c r="B56" i="34"/>
  <c r="B47" i="34"/>
  <c r="B51" i="34"/>
  <c r="B1003" i="34"/>
  <c r="B1004" i="34"/>
  <c r="B1005" i="34"/>
  <c r="B1006" i="34"/>
  <c r="B1797" i="34"/>
  <c r="B27" i="34"/>
  <c r="B1458" i="34"/>
  <c r="B1546" i="34"/>
  <c r="B1547" i="34"/>
  <c r="B1648" i="34"/>
  <c r="B1649" i="34"/>
  <c r="B469" i="34"/>
  <c r="B470" i="34"/>
  <c r="B942" i="34"/>
  <c r="B943" i="34"/>
  <c r="B1113" i="34"/>
  <c r="B1114" i="34"/>
  <c r="B1142" i="34"/>
  <c r="B1548" i="34"/>
  <c r="B68" i="34"/>
  <c r="B69" i="34"/>
  <c r="B73" i="34"/>
  <c r="B74" i="34"/>
  <c r="B64" i="34"/>
  <c r="B65" i="34"/>
  <c r="B66" i="34"/>
  <c r="Q66" i="34" l="1"/>
  <c r="U66" i="34"/>
  <c r="Z66" i="34"/>
  <c r="O66" i="34"/>
  <c r="P66" i="34"/>
  <c r="A66" i="34"/>
  <c r="Q1648" i="34"/>
  <c r="U1648" i="34"/>
  <c r="Z1648" i="34"/>
  <c r="O1648" i="34"/>
  <c r="P1648" i="34"/>
  <c r="A1648" i="34"/>
  <c r="Q1113" i="34"/>
  <c r="U1113" i="34"/>
  <c r="Z1113" i="34"/>
  <c r="P1113" i="34"/>
  <c r="O1113" i="34"/>
  <c r="A1113" i="34"/>
  <c r="Q1546" i="34"/>
  <c r="U1546" i="34"/>
  <c r="Z1546" i="34"/>
  <c r="P1546" i="34"/>
  <c r="O1546" i="34"/>
  <c r="A1546" i="34"/>
  <c r="P51" i="34"/>
  <c r="T51" i="34"/>
  <c r="Q51" i="34"/>
  <c r="U51" i="34"/>
  <c r="Z51" i="34"/>
  <c r="R51" i="34"/>
  <c r="S51" i="34"/>
  <c r="O51" i="34"/>
  <c r="A51" i="34"/>
  <c r="Q161" i="34"/>
  <c r="U161" i="34"/>
  <c r="Z161" i="34"/>
  <c r="O161" i="34"/>
  <c r="S161" i="34"/>
  <c r="P161" i="34"/>
  <c r="R161" i="34"/>
  <c r="T161" i="34"/>
  <c r="A161" i="34"/>
  <c r="P146" i="34"/>
  <c r="Q146" i="34"/>
  <c r="U146" i="34"/>
  <c r="Z146" i="34"/>
  <c r="O146" i="34"/>
  <c r="A146" i="34"/>
  <c r="Q165" i="34"/>
  <c r="U165" i="34"/>
  <c r="Z165" i="34"/>
  <c r="R165" i="34"/>
  <c r="S165" i="34"/>
  <c r="O165" i="34"/>
  <c r="T165" i="34"/>
  <c r="P165" i="34"/>
  <c r="A165" i="34"/>
  <c r="Q251" i="34"/>
  <c r="U251" i="34"/>
  <c r="Z251" i="34"/>
  <c r="O251" i="34"/>
  <c r="P251" i="34"/>
  <c r="A251" i="34"/>
  <c r="O1327" i="34"/>
  <c r="P1327" i="34"/>
  <c r="Q1327" i="34"/>
  <c r="U1327" i="34"/>
  <c r="Z1327" i="34"/>
  <c r="A1327" i="34"/>
  <c r="Q84" i="34"/>
  <c r="U84" i="34"/>
  <c r="Z84" i="34"/>
  <c r="O84" i="34"/>
  <c r="P84" i="34"/>
  <c r="A84" i="34"/>
  <c r="O80" i="34"/>
  <c r="Q80" i="34"/>
  <c r="U80" i="34"/>
  <c r="Z80" i="34"/>
  <c r="P80" i="34"/>
  <c r="A80" i="34"/>
  <c r="Q132" i="34"/>
  <c r="U132" i="34"/>
  <c r="Z132" i="34"/>
  <c r="P132" i="34"/>
  <c r="O132" i="34"/>
  <c r="A132" i="34"/>
  <c r="Q90" i="34"/>
  <c r="U90" i="34"/>
  <c r="Z90" i="34"/>
  <c r="O90" i="34"/>
  <c r="P90" i="34"/>
  <c r="A90" i="34"/>
  <c r="Q1142" i="34"/>
  <c r="U1142" i="34"/>
  <c r="Z1142" i="34"/>
  <c r="O1142" i="34"/>
  <c r="P1142" i="34"/>
  <c r="A1142" i="34"/>
  <c r="Q64" i="34"/>
  <c r="U64" i="34"/>
  <c r="Z64" i="34"/>
  <c r="P64" i="34"/>
  <c r="O64" i="34"/>
  <c r="A64" i="34"/>
  <c r="Q68" i="34"/>
  <c r="U68" i="34"/>
  <c r="Z68" i="34"/>
  <c r="P68" i="34"/>
  <c r="O68" i="34"/>
  <c r="A68" i="34"/>
  <c r="Q469" i="34"/>
  <c r="U469" i="34"/>
  <c r="Z469" i="34"/>
  <c r="O469" i="34"/>
  <c r="P469" i="34"/>
  <c r="A469" i="34"/>
  <c r="Q1006" i="34"/>
  <c r="U1006" i="34"/>
  <c r="Z1006" i="34"/>
  <c r="O1006" i="34"/>
  <c r="P1006" i="34"/>
  <c r="A1006" i="34"/>
  <c r="Q67" i="34"/>
  <c r="U67" i="34"/>
  <c r="Z67" i="34"/>
  <c r="O67" i="34"/>
  <c r="P67" i="34"/>
  <c r="A67" i="34"/>
  <c r="Q186" i="34"/>
  <c r="U186" i="34"/>
  <c r="Z186" i="34"/>
  <c r="P186" i="34"/>
  <c r="T186" i="34"/>
  <c r="R186" i="34"/>
  <c r="S186" i="34"/>
  <c r="O186" i="34"/>
  <c r="A186" i="34"/>
  <c r="Q247" i="34"/>
  <c r="U247" i="34"/>
  <c r="Z247" i="34"/>
  <c r="O247" i="34"/>
  <c r="P247" i="34"/>
  <c r="A247" i="34"/>
  <c r="O74" i="34"/>
  <c r="P74" i="34"/>
  <c r="Q74" i="34"/>
  <c r="U74" i="34"/>
  <c r="Z74" i="34"/>
  <c r="A74" i="34"/>
  <c r="Q1548" i="34"/>
  <c r="U1548" i="34"/>
  <c r="Z1548" i="34"/>
  <c r="O1548" i="34"/>
  <c r="P1548" i="34"/>
  <c r="A1548" i="34"/>
  <c r="Q943" i="34"/>
  <c r="U943" i="34"/>
  <c r="Z943" i="34"/>
  <c r="O943" i="34"/>
  <c r="P943" i="34"/>
  <c r="A943" i="34"/>
  <c r="Q1649" i="34"/>
  <c r="U1649" i="34"/>
  <c r="Z1649" i="34"/>
  <c r="O1649" i="34"/>
  <c r="P1649" i="34"/>
  <c r="A1649" i="34"/>
  <c r="Q1458" i="34"/>
  <c r="U1458" i="34"/>
  <c r="Z1458" i="34"/>
  <c r="P1458" i="34"/>
  <c r="O1458" i="34"/>
  <c r="A1458" i="34"/>
  <c r="Q1005" i="34"/>
  <c r="U1005" i="34"/>
  <c r="Z1005" i="34"/>
  <c r="O1005" i="34"/>
  <c r="P1005" i="34"/>
  <c r="A1005" i="34"/>
  <c r="Q47" i="34"/>
  <c r="U47" i="34"/>
  <c r="Z47" i="34"/>
  <c r="O47" i="34"/>
  <c r="T47" i="34"/>
  <c r="P47" i="34"/>
  <c r="R47" i="34"/>
  <c r="S47" i="34"/>
  <c r="A47" i="34"/>
  <c r="Q164" i="34"/>
  <c r="U164" i="34"/>
  <c r="Z164" i="34"/>
  <c r="O164" i="34"/>
  <c r="P164" i="34"/>
  <c r="A164" i="34"/>
  <c r="Q71" i="34"/>
  <c r="U71" i="34"/>
  <c r="O71" i="34"/>
  <c r="Z71" i="34"/>
  <c r="P71" i="34"/>
  <c r="A71" i="34"/>
  <c r="Q263" i="34"/>
  <c r="U263" i="34"/>
  <c r="Z263" i="34"/>
  <c r="O263" i="34"/>
  <c r="P263" i="34"/>
  <c r="A263" i="34"/>
  <c r="Q657" i="34"/>
  <c r="U657" i="34"/>
  <c r="Z657" i="34"/>
  <c r="O657" i="34"/>
  <c r="P657" i="34"/>
  <c r="A657" i="34"/>
  <c r="Q178" i="34"/>
  <c r="U178" i="34"/>
  <c r="Z178" i="34"/>
  <c r="O178" i="34"/>
  <c r="P178" i="34"/>
  <c r="A178" i="34"/>
  <c r="Q248" i="34"/>
  <c r="U248" i="34"/>
  <c r="Z248" i="34"/>
  <c r="O248" i="34"/>
  <c r="P248" i="34"/>
  <c r="A248" i="34"/>
  <c r="Q1007" i="34"/>
  <c r="U1007" i="34"/>
  <c r="Z1007" i="34"/>
  <c r="P1007" i="34"/>
  <c r="O1007" i="34"/>
  <c r="A1007" i="34"/>
  <c r="O77" i="34"/>
  <c r="P77" i="34"/>
  <c r="Q77" i="34"/>
  <c r="U77" i="34"/>
  <c r="Z77" i="34"/>
  <c r="A77" i="34"/>
  <c r="Q83" i="34"/>
  <c r="U83" i="34"/>
  <c r="Z83" i="34"/>
  <c r="O83" i="34"/>
  <c r="P83" i="34"/>
  <c r="A83" i="34"/>
  <c r="O79" i="34"/>
  <c r="Q79" i="34"/>
  <c r="U79" i="34"/>
  <c r="Z79" i="34"/>
  <c r="P79" i="34"/>
  <c r="A79" i="34"/>
  <c r="Q131" i="34"/>
  <c r="U131" i="34"/>
  <c r="Z131" i="34"/>
  <c r="P131" i="34"/>
  <c r="T131" i="34"/>
  <c r="O131" i="34"/>
  <c r="R131" i="34"/>
  <c r="S131" i="34"/>
  <c r="A131" i="34"/>
  <c r="Q89" i="34"/>
  <c r="U89" i="34"/>
  <c r="Z89" i="34"/>
  <c r="P89" i="34"/>
  <c r="O89" i="34"/>
  <c r="A89" i="34"/>
  <c r="O73" i="34"/>
  <c r="P73" i="34"/>
  <c r="Q73" i="34"/>
  <c r="U73" i="34"/>
  <c r="Z73" i="34"/>
  <c r="A73" i="34"/>
  <c r="Q1004" i="34"/>
  <c r="U1004" i="34"/>
  <c r="Z1004" i="34"/>
  <c r="O1004" i="34"/>
  <c r="P1004" i="34"/>
  <c r="A1004" i="34"/>
  <c r="Q163" i="34"/>
  <c r="U163" i="34"/>
  <c r="Z163" i="34"/>
  <c r="O163" i="34"/>
  <c r="P163" i="34"/>
  <c r="A163" i="34"/>
  <c r="Q262" i="34"/>
  <c r="U262" i="34"/>
  <c r="Z262" i="34"/>
  <c r="P262" i="34"/>
  <c r="O262" i="34"/>
  <c r="A262" i="34"/>
  <c r="Q249" i="34"/>
  <c r="U249" i="34"/>
  <c r="Z249" i="34"/>
  <c r="O249" i="34"/>
  <c r="P249" i="34"/>
  <c r="A249" i="34"/>
  <c r="Q86" i="34"/>
  <c r="U86" i="34"/>
  <c r="Z86" i="34"/>
  <c r="O86" i="34"/>
  <c r="P86" i="34"/>
  <c r="A86" i="34"/>
  <c r="Q82" i="34"/>
  <c r="U82" i="34"/>
  <c r="Z82" i="34"/>
  <c r="O82" i="34"/>
  <c r="P82" i="34"/>
  <c r="A82" i="34"/>
  <c r="Q130" i="34"/>
  <c r="U130" i="34"/>
  <c r="Z130" i="34"/>
  <c r="P130" i="34"/>
  <c r="T130" i="34"/>
  <c r="S130" i="34"/>
  <c r="O130" i="34"/>
  <c r="R130" i="34"/>
  <c r="A130" i="34"/>
  <c r="Q88" i="34"/>
  <c r="U88" i="34"/>
  <c r="Z88" i="34"/>
  <c r="O88" i="34"/>
  <c r="P88" i="34"/>
  <c r="A88" i="34"/>
  <c r="Q942" i="34"/>
  <c r="U942" i="34"/>
  <c r="Z942" i="34"/>
  <c r="O942" i="34"/>
  <c r="P942" i="34"/>
  <c r="A942" i="34"/>
  <c r="Q27" i="34"/>
  <c r="U27" i="34"/>
  <c r="Z27" i="34"/>
  <c r="O27" i="34"/>
  <c r="T27" i="34"/>
  <c r="P27" i="34"/>
  <c r="R27" i="34"/>
  <c r="S27" i="34"/>
  <c r="A27" i="34"/>
  <c r="Q56" i="34"/>
  <c r="U56" i="34"/>
  <c r="Z56" i="34"/>
  <c r="P56" i="34"/>
  <c r="O56" i="34"/>
  <c r="A56" i="34"/>
  <c r="Q70" i="34"/>
  <c r="U70" i="34"/>
  <c r="Z70" i="34"/>
  <c r="O70" i="34"/>
  <c r="P70" i="34"/>
  <c r="A70" i="34"/>
  <c r="Q656" i="34"/>
  <c r="U656" i="34"/>
  <c r="Z656" i="34"/>
  <c r="O656" i="34"/>
  <c r="P656" i="34"/>
  <c r="A656" i="34"/>
  <c r="Q179" i="34"/>
  <c r="U179" i="34"/>
  <c r="Z179" i="34"/>
  <c r="O179" i="34"/>
  <c r="P179" i="34"/>
  <c r="A179" i="34"/>
  <c r="Q1008" i="34"/>
  <c r="U1008" i="34"/>
  <c r="Z1008" i="34"/>
  <c r="O1008" i="34"/>
  <c r="P1008" i="34"/>
  <c r="A1008" i="34"/>
  <c r="O78" i="34"/>
  <c r="Q78" i="34"/>
  <c r="U78" i="34"/>
  <c r="Z78" i="34"/>
  <c r="P78" i="34"/>
  <c r="A78" i="34"/>
  <c r="Q65" i="34"/>
  <c r="U65" i="34"/>
  <c r="Z65" i="34"/>
  <c r="O65" i="34"/>
  <c r="P65" i="34"/>
  <c r="A65" i="34"/>
  <c r="Q69" i="34"/>
  <c r="U69" i="34"/>
  <c r="Z69" i="34"/>
  <c r="O69" i="34"/>
  <c r="P69" i="34"/>
  <c r="A69" i="34"/>
  <c r="Q1114" i="34"/>
  <c r="U1114" i="34"/>
  <c r="Z1114" i="34"/>
  <c r="O1114" i="34"/>
  <c r="P1114" i="34"/>
  <c r="A1114" i="34"/>
  <c r="Q470" i="34"/>
  <c r="U470" i="34"/>
  <c r="Z470" i="34"/>
  <c r="P470" i="34"/>
  <c r="O470" i="34"/>
  <c r="A470" i="34"/>
  <c r="Q1547" i="34"/>
  <c r="U1547" i="34"/>
  <c r="Z1547" i="34"/>
  <c r="O1547" i="34"/>
  <c r="P1547" i="34"/>
  <c r="A1547" i="34"/>
  <c r="Q1797" i="34"/>
  <c r="U1797" i="34"/>
  <c r="Z1797" i="34"/>
  <c r="O1797" i="34"/>
  <c r="P1797" i="34"/>
  <c r="A1797" i="34"/>
  <c r="Q1003" i="34"/>
  <c r="U1003" i="34"/>
  <c r="Z1003" i="34"/>
  <c r="P1003" i="34"/>
  <c r="O1003" i="34"/>
  <c r="A1003" i="34"/>
  <c r="Q55" i="34"/>
  <c r="U55" i="34"/>
  <c r="Z55" i="34"/>
  <c r="R55" i="34"/>
  <c r="S55" i="34"/>
  <c r="O55" i="34"/>
  <c r="T55" i="34"/>
  <c r="P55" i="34"/>
  <c r="A55" i="34"/>
  <c r="Q162" i="34"/>
  <c r="U162" i="34"/>
  <c r="Z162" i="34"/>
  <c r="O162" i="34"/>
  <c r="P162" i="34"/>
  <c r="A162" i="34"/>
  <c r="Q187" i="34"/>
  <c r="U187" i="34"/>
  <c r="Z187" i="34"/>
  <c r="P187" i="34"/>
  <c r="T187" i="34"/>
  <c r="S187" i="34"/>
  <c r="O187" i="34"/>
  <c r="R187" i="34"/>
  <c r="A187" i="34"/>
  <c r="P147" i="34"/>
  <c r="Q147" i="34"/>
  <c r="U147" i="34"/>
  <c r="Z147" i="34"/>
  <c r="O147" i="34"/>
  <c r="A147" i="34"/>
  <c r="O1326" i="34"/>
  <c r="P1326" i="34"/>
  <c r="Q1326" i="34"/>
  <c r="U1326" i="34"/>
  <c r="Z1326" i="34"/>
  <c r="A1326" i="34"/>
  <c r="Q188" i="34"/>
  <c r="U188" i="34"/>
  <c r="Z188" i="34"/>
  <c r="P188" i="34"/>
  <c r="T188" i="34"/>
  <c r="O188" i="34"/>
  <c r="R188" i="34"/>
  <c r="S188" i="34"/>
  <c r="A188" i="34"/>
  <c r="Q250" i="34"/>
  <c r="U250" i="34"/>
  <c r="Z250" i="34"/>
  <c r="P250" i="34"/>
  <c r="O250" i="34"/>
  <c r="A250" i="34"/>
  <c r="O76" i="34"/>
  <c r="P76" i="34"/>
  <c r="Q76" i="34"/>
  <c r="U76" i="34"/>
  <c r="Z76" i="34"/>
  <c r="A76" i="34"/>
  <c r="Q85" i="34"/>
  <c r="U85" i="34"/>
  <c r="Z85" i="34"/>
  <c r="P85" i="34"/>
  <c r="O85" i="34"/>
  <c r="A85" i="34"/>
  <c r="Q81" i="34"/>
  <c r="U81" i="34"/>
  <c r="Z81" i="34"/>
  <c r="P81" i="34"/>
  <c r="O81" i="34"/>
  <c r="A81" i="34"/>
  <c r="Q133" i="34"/>
  <c r="U133" i="34"/>
  <c r="Z133" i="34"/>
  <c r="P133" i="34"/>
  <c r="O133" i="34"/>
  <c r="A133" i="34"/>
  <c r="Q91" i="34"/>
  <c r="U91" i="34"/>
  <c r="Z91" i="34"/>
  <c r="O91" i="34"/>
  <c r="P91" i="34"/>
  <c r="A91" i="34"/>
  <c r="Q87" i="34"/>
  <c r="U87" i="34"/>
  <c r="Z87" i="34"/>
  <c r="O87" i="34"/>
  <c r="P87" i="34"/>
  <c r="A87" i="34"/>
  <c r="B514" i="34"/>
  <c r="B504" i="34"/>
  <c r="B503" i="34"/>
  <c r="B502" i="34"/>
  <c r="B433" i="34"/>
  <c r="B432" i="34"/>
  <c r="B361" i="34"/>
  <c r="B360" i="34"/>
  <c r="B256" i="34"/>
  <c r="B255" i="34"/>
  <c r="B254" i="34"/>
  <c r="B166" i="34"/>
  <c r="B118" i="34"/>
  <c r="B117" i="34"/>
  <c r="B93" i="34"/>
  <c r="B94" i="34"/>
  <c r="B52" i="34"/>
  <c r="O361" i="34" l="1"/>
  <c r="P361" i="34"/>
  <c r="Q361" i="34"/>
  <c r="U361" i="34"/>
  <c r="Z361" i="34"/>
  <c r="A361" i="34"/>
  <c r="Q503" i="34"/>
  <c r="U503" i="34"/>
  <c r="Z503" i="34"/>
  <c r="O503" i="34"/>
  <c r="P503" i="34"/>
  <c r="A503" i="34"/>
  <c r="Q504" i="34"/>
  <c r="U504" i="34"/>
  <c r="Z504" i="34"/>
  <c r="O504" i="34"/>
  <c r="P504" i="34"/>
  <c r="A504" i="34"/>
  <c r="Q254" i="34"/>
  <c r="U254" i="34"/>
  <c r="Z254" i="34"/>
  <c r="P254" i="34"/>
  <c r="O254" i="34"/>
  <c r="A254" i="34"/>
  <c r="Q255" i="34"/>
  <c r="U255" i="34"/>
  <c r="Z255" i="34"/>
  <c r="O255" i="34"/>
  <c r="P255" i="34"/>
  <c r="A255" i="34"/>
  <c r="P52" i="34"/>
  <c r="Q52" i="34"/>
  <c r="U52" i="34"/>
  <c r="Z52" i="34"/>
  <c r="R52" i="34"/>
  <c r="O52" i="34"/>
  <c r="S52" i="34"/>
  <c r="T52" i="34"/>
  <c r="A52" i="34"/>
  <c r="Q256" i="34"/>
  <c r="U256" i="34"/>
  <c r="Z256" i="34"/>
  <c r="O256" i="34"/>
  <c r="P256" i="34"/>
  <c r="A256" i="34"/>
  <c r="Q433" i="34"/>
  <c r="U433" i="34"/>
  <c r="Z433" i="34"/>
  <c r="O433" i="34"/>
  <c r="P433" i="34"/>
  <c r="A433" i="34"/>
  <c r="Q514" i="34"/>
  <c r="U514" i="34"/>
  <c r="Z514" i="34"/>
  <c r="P514" i="34"/>
  <c r="O514" i="34"/>
  <c r="A514" i="34"/>
  <c r="Q93" i="34"/>
  <c r="U93" i="34"/>
  <c r="Z93" i="34"/>
  <c r="P93" i="34"/>
  <c r="O93" i="34"/>
  <c r="A93" i="34"/>
  <c r="Q117" i="34"/>
  <c r="U117" i="34"/>
  <c r="Z117" i="34"/>
  <c r="P117" i="34"/>
  <c r="O117" i="34"/>
  <c r="A117" i="34"/>
  <c r="Q432" i="34"/>
  <c r="U432" i="34"/>
  <c r="Z432" i="34"/>
  <c r="O432" i="34"/>
  <c r="P432" i="34"/>
  <c r="A432" i="34"/>
  <c r="Q118" i="34"/>
  <c r="U118" i="34"/>
  <c r="Z118" i="34"/>
  <c r="O118" i="34"/>
  <c r="P118" i="34"/>
  <c r="A118" i="34"/>
  <c r="Q94" i="34"/>
  <c r="U94" i="34"/>
  <c r="Z94" i="34"/>
  <c r="O94" i="34"/>
  <c r="P94" i="34"/>
  <c r="A94" i="34"/>
  <c r="Q166" i="34"/>
  <c r="U166" i="34"/>
  <c r="Z166" i="34"/>
  <c r="P166" i="34"/>
  <c r="O166" i="34"/>
  <c r="A166" i="34"/>
  <c r="O360" i="34"/>
  <c r="P360" i="34"/>
  <c r="Q360" i="34"/>
  <c r="U360" i="34"/>
  <c r="Z360" i="34"/>
  <c r="A360" i="34"/>
  <c r="Q502" i="34"/>
  <c r="U502" i="34"/>
  <c r="Z502" i="34"/>
  <c r="P502" i="34"/>
  <c r="R502" i="34"/>
  <c r="S502" i="34"/>
  <c r="O502" i="34"/>
  <c r="T502" i="34"/>
  <c r="A502" i="34"/>
  <c r="A14" i="71"/>
  <c r="A47" i="71" s="1"/>
  <c r="A19" i="71"/>
  <c r="A20" i="71"/>
  <c r="A17" i="71"/>
  <c r="B167" i="34"/>
  <c r="A18" i="71"/>
  <c r="B513" i="34"/>
  <c r="A16" i="71"/>
  <c r="A15" i="71"/>
  <c r="T10" i="34"/>
  <c r="Q513" i="34" l="1"/>
  <c r="U513" i="34"/>
  <c r="Z513" i="34"/>
  <c r="O513" i="34"/>
  <c r="P513" i="34"/>
  <c r="A513" i="34"/>
  <c r="Q167" i="34"/>
  <c r="U167" i="34"/>
  <c r="Z167" i="34"/>
  <c r="O167" i="34"/>
  <c r="P167" i="34"/>
  <c r="A167" i="34"/>
  <c r="R10" i="34"/>
  <c r="E6" i="43" l="1"/>
  <c r="O8" i="43"/>
  <c r="N8" i="43"/>
  <c r="B72" i="34" l="1"/>
  <c r="B189" i="34"/>
  <c r="B246" i="34"/>
  <c r="B355" i="34"/>
  <c r="B357" i="34"/>
  <c r="B377" i="34"/>
  <c r="B427" i="34"/>
  <c r="B486" i="34"/>
  <c r="B501" i="34"/>
  <c r="B512" i="34"/>
  <c r="B549" i="34"/>
  <c r="B1457" i="34"/>
  <c r="Q486" i="34" l="1"/>
  <c r="U486" i="34"/>
  <c r="Z486" i="34"/>
  <c r="P486" i="34"/>
  <c r="R486" i="34"/>
  <c r="S486" i="34"/>
  <c r="O486" i="34"/>
  <c r="T486" i="34"/>
  <c r="A486" i="34"/>
  <c r="O355" i="34"/>
  <c r="P355" i="34"/>
  <c r="Q355" i="34"/>
  <c r="U355" i="34"/>
  <c r="Z355" i="34"/>
  <c r="A355" i="34"/>
  <c r="Q427" i="34"/>
  <c r="U427" i="34"/>
  <c r="Z427" i="34"/>
  <c r="O427" i="34"/>
  <c r="P427" i="34"/>
  <c r="A427" i="34"/>
  <c r="Q246" i="34"/>
  <c r="U246" i="34"/>
  <c r="Z246" i="34"/>
  <c r="P246" i="34"/>
  <c r="O246" i="34"/>
  <c r="A246" i="34"/>
  <c r="Q1457" i="34"/>
  <c r="U1457" i="34"/>
  <c r="Z1457" i="34"/>
  <c r="O1457" i="34"/>
  <c r="P1457" i="34"/>
  <c r="A1457" i="34"/>
  <c r="Q512" i="34"/>
  <c r="U512" i="34"/>
  <c r="Z512" i="34"/>
  <c r="O512" i="34"/>
  <c r="P512" i="34"/>
  <c r="A512" i="34"/>
  <c r="O377" i="34"/>
  <c r="P377" i="34"/>
  <c r="Q377" i="34"/>
  <c r="U377" i="34"/>
  <c r="Z377" i="34"/>
  <c r="A377" i="34"/>
  <c r="Q189" i="34"/>
  <c r="U189" i="34"/>
  <c r="Z189" i="34"/>
  <c r="P189" i="34"/>
  <c r="T189" i="34"/>
  <c r="O189" i="34"/>
  <c r="R189" i="34"/>
  <c r="S189" i="34"/>
  <c r="A189" i="34"/>
  <c r="Q549" i="34"/>
  <c r="U549" i="34"/>
  <c r="Z549" i="34"/>
  <c r="O549" i="34"/>
  <c r="P549" i="34"/>
  <c r="A549" i="34"/>
  <c r="Q501" i="34"/>
  <c r="U501" i="34"/>
  <c r="Z501" i="34"/>
  <c r="R501" i="34"/>
  <c r="S501" i="34"/>
  <c r="O501" i="34"/>
  <c r="T501" i="34"/>
  <c r="P501" i="34"/>
  <c r="A501" i="34"/>
  <c r="O357" i="34"/>
  <c r="S357" i="34"/>
  <c r="P357" i="34"/>
  <c r="T357" i="34"/>
  <c r="Q357" i="34"/>
  <c r="U357" i="34"/>
  <c r="Z357" i="34"/>
  <c r="R357" i="34"/>
  <c r="A357" i="34"/>
  <c r="O72" i="34"/>
  <c r="P72" i="34"/>
  <c r="Q72" i="34"/>
  <c r="U72" i="34"/>
  <c r="Z72" i="34"/>
  <c r="A72" i="34"/>
  <c r="B75" i="34"/>
  <c r="O75" i="34" l="1"/>
  <c r="P75" i="34"/>
  <c r="Q75" i="34"/>
  <c r="U75" i="34"/>
  <c r="Z75" i="34"/>
  <c r="A75" i="34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5" i="64"/>
  <c r="L16" i="64"/>
  <c r="K50" i="64"/>
  <c r="J50" i="64"/>
  <c r="H50" i="64"/>
  <c r="L50" i="64"/>
  <c r="H20" i="68" l="1"/>
  <c r="G21" i="68" s="1"/>
  <c r="H21" i="68" l="1"/>
  <c r="G25" i="68" l="1"/>
  <c r="B3301" i="34"/>
  <c r="B3302" i="34"/>
  <c r="B3303" i="34"/>
  <c r="B3304" i="34"/>
  <c r="U3303" i="34" l="1"/>
  <c r="Z3303" i="34"/>
  <c r="O3303" i="34"/>
  <c r="P3303" i="34"/>
  <c r="Q3303" i="34"/>
  <c r="U3302" i="34"/>
  <c r="Z3302" i="34"/>
  <c r="O3302" i="34"/>
  <c r="P3302" i="34"/>
  <c r="Q3302" i="34"/>
  <c r="U3301" i="34"/>
  <c r="Z3301" i="34"/>
  <c r="O3301" i="34"/>
  <c r="P3301" i="34"/>
  <c r="Q3301" i="34"/>
  <c r="U3304" i="34"/>
  <c r="Z3304" i="34"/>
  <c r="O3304" i="34"/>
  <c r="P3304" i="34"/>
  <c r="Q3304" i="34"/>
  <c r="A3302" i="34"/>
  <c r="A3301" i="34"/>
  <c r="A3303" i="34"/>
  <c r="A3304" i="34"/>
  <c r="I6" i="43"/>
  <c r="G565" i="55" l="1" a="1"/>
  <c r="G565" i="55" s="1"/>
  <c r="I458" i="55" a="1"/>
  <c r="I458" i="55" s="1"/>
  <c r="I349" i="55" a="1"/>
  <c r="I349" i="55" s="1"/>
  <c r="I395" i="55" a="1"/>
  <c r="I395" i="55" s="1"/>
  <c r="I441" i="55" a="1"/>
  <c r="I441" i="55" s="1"/>
  <c r="I345" i="55" a="1"/>
  <c r="I345" i="55" s="1"/>
  <c r="I492" i="55" a="1"/>
  <c r="I492" i="55" s="1"/>
  <c r="I359" i="55" a="1"/>
  <c r="I359" i="55" s="1"/>
  <c r="I413" i="55" a="1"/>
  <c r="I413" i="55" s="1"/>
  <c r="I411" i="55" a="1"/>
  <c r="I411" i="55" s="1"/>
  <c r="I544" i="55" a="1"/>
  <c r="I544" i="55" s="1"/>
  <c r="I401" i="55" a="1"/>
  <c r="I401" i="55" s="1"/>
  <c r="I536" i="55" a="1"/>
  <c r="I536" i="55" s="1"/>
  <c r="I360" i="55" a="1"/>
  <c r="I360" i="55" s="1"/>
  <c r="I481" i="55" a="1"/>
  <c r="I481" i="55" s="1"/>
  <c r="I565" i="55" a="1"/>
  <c r="I565" i="55" s="1"/>
  <c r="G376" i="55" a="1"/>
  <c r="G376" i="55" s="1"/>
  <c r="G531" i="55" a="1"/>
  <c r="G531" i="55" s="1"/>
  <c r="G454" i="55" a="1"/>
  <c r="G454" i="55" s="1"/>
  <c r="G529" i="55" a="1"/>
  <c r="G529" i="55" s="1"/>
  <c r="G408" i="55" a="1"/>
  <c r="G408" i="55" s="1"/>
  <c r="G554" i="55" a="1"/>
  <c r="G554" i="55" s="1"/>
  <c r="G569" i="55" a="1"/>
  <c r="G569" i="55" s="1"/>
  <c r="G399" i="55" a="1"/>
  <c r="G399" i="55" s="1"/>
  <c r="G445" i="55" a="1"/>
  <c r="G445" i="55" s="1"/>
  <c r="I404" i="55" a="1"/>
  <c r="I404" i="55" s="1"/>
  <c r="I348" i="55" a="1"/>
  <c r="I348" i="55" s="1"/>
  <c r="I424" i="55" a="1"/>
  <c r="I424" i="55" s="1"/>
  <c r="I525" i="55" a="1"/>
  <c r="I525" i="55" s="1"/>
  <c r="I347" i="55" a="1"/>
  <c r="I347" i="55" s="1"/>
  <c r="I496" i="55" a="1"/>
  <c r="I496" i="55" s="1"/>
  <c r="I457" i="55" a="1"/>
  <c r="I457" i="55" s="1"/>
  <c r="I400" i="55" a="1"/>
  <c r="I400" i="55" s="1"/>
  <c r="I524" i="55" a="1"/>
  <c r="I524" i="55" s="1"/>
  <c r="I380" i="55" a="1"/>
  <c r="I380" i="55" s="1"/>
  <c r="I465" i="55" a="1"/>
  <c r="I465" i="55" s="1"/>
  <c r="G421" i="55" a="1"/>
  <c r="G421" i="55" s="1"/>
  <c r="G393" i="55" a="1"/>
  <c r="G393" i="55" s="1"/>
  <c r="G568" i="55" a="1"/>
  <c r="G568" i="55" s="1"/>
  <c r="I376" i="55" a="1"/>
  <c r="I376" i="55" s="1"/>
  <c r="I531" i="55" a="1"/>
  <c r="I531" i="55" s="1"/>
  <c r="I454" i="55" a="1"/>
  <c r="I454" i="55" s="1"/>
  <c r="I529" i="55" a="1"/>
  <c r="I529" i="55" s="1"/>
  <c r="I408" i="55" a="1"/>
  <c r="I408" i="55" s="1"/>
  <c r="I554" i="55" a="1"/>
  <c r="I554" i="55" s="1"/>
  <c r="I569" i="55" a="1"/>
  <c r="I569" i="55" s="1"/>
  <c r="I399" i="55" a="1"/>
  <c r="I399" i="55" s="1"/>
  <c r="I445" i="55" a="1"/>
  <c r="I445" i="55" s="1"/>
  <c r="I421" i="55" a="1"/>
  <c r="I421" i="55" s="1"/>
  <c r="I393" i="55" a="1"/>
  <c r="I393" i="55" s="1"/>
  <c r="I568" i="55" a="1"/>
  <c r="I568" i="55" s="1"/>
  <c r="I356" i="55" a="1"/>
  <c r="I356" i="55" s="1"/>
  <c r="I409" i="55" a="1"/>
  <c r="I409" i="55" s="1"/>
  <c r="I509" i="55" a="1"/>
  <c r="I509" i="55" s="1"/>
  <c r="I422" i="55" a="1"/>
  <c r="I422" i="55" s="1"/>
  <c r="I571" i="55" a="1"/>
  <c r="I571" i="55" s="1"/>
  <c r="I545" i="55" a="1"/>
  <c r="I545" i="55" s="1"/>
  <c r="I523" i="55" a="1"/>
  <c r="I523" i="55" s="1"/>
  <c r="G465" i="55" a="1"/>
  <c r="G465" i="55" s="1"/>
  <c r="G348" i="55" a="1"/>
  <c r="G348" i="55" s="1"/>
  <c r="G424" i="55" a="1"/>
  <c r="G424" i="55" s="1"/>
  <c r="G441" i="55" a="1"/>
  <c r="G441" i="55" s="1"/>
  <c r="G492" i="55" a="1"/>
  <c r="G492" i="55" s="1"/>
  <c r="G422" i="55" a="1"/>
  <c r="G422" i="55" s="1"/>
  <c r="G544" i="55" a="1"/>
  <c r="G544" i="55" s="1"/>
  <c r="G545" i="55" a="1"/>
  <c r="G545" i="55" s="1"/>
  <c r="G481" i="55" a="1"/>
  <c r="G481" i="55" s="1"/>
  <c r="I370" i="55" a="1"/>
  <c r="I370" i="55" s="1"/>
  <c r="I468" i="55" a="1"/>
  <c r="I468" i="55" s="1"/>
  <c r="I368" i="55" a="1"/>
  <c r="I368" i="55" s="1"/>
  <c r="I510" i="55" a="1"/>
  <c r="I510" i="55" s="1"/>
  <c r="G404" i="55" a="1"/>
  <c r="G404" i="55" s="1"/>
  <c r="G427" i="55" a="1"/>
  <c r="G427" i="55" s="1"/>
  <c r="G508" i="55" a="1"/>
  <c r="G508" i="55" s="1"/>
  <c r="G466" i="55" a="1"/>
  <c r="G466" i="55" s="1"/>
  <c r="G503" i="55" a="1"/>
  <c r="G503" i="55" s="1"/>
  <c r="G527" i="55" a="1"/>
  <c r="G527" i="55" s="1"/>
  <c r="G379" i="55" a="1"/>
  <c r="G379" i="55" s="1"/>
  <c r="G391" i="55" a="1"/>
  <c r="G391" i="55" s="1"/>
  <c r="I14" i="55" a="1"/>
  <c r="I14" i="55" s="1"/>
  <c r="G452" i="55" a="1"/>
  <c r="G452" i="55" s="1"/>
  <c r="G564" i="55" a="1"/>
  <c r="G564" i="55" s="1"/>
  <c r="G346" i="55" a="1"/>
  <c r="G346" i="55" s="1"/>
  <c r="I362" i="55" a="1"/>
  <c r="I362" i="55" s="1"/>
  <c r="I543" i="55" a="1"/>
  <c r="I543" i="55" s="1"/>
  <c r="I416" i="55" a="1"/>
  <c r="I416" i="55" s="1"/>
  <c r="G372" i="55" a="1"/>
  <c r="G372" i="55" s="1"/>
  <c r="G578" i="55" a="1"/>
  <c r="G578" i="55" s="1"/>
  <c r="I372" i="55" a="1"/>
  <c r="I372" i="55" s="1"/>
  <c r="I578" i="55" a="1"/>
  <c r="I578" i="55" s="1"/>
  <c r="G229" i="55" a="1"/>
  <c r="G229" i="55" s="1"/>
  <c r="I108" i="55" a="1"/>
  <c r="I108" i="55" s="1"/>
  <c r="G181" i="55" a="1"/>
  <c r="G181" i="55" s="1"/>
  <c r="G189" i="55" a="1"/>
  <c r="G189" i="55" s="1"/>
  <c r="G205" i="55" a="1"/>
  <c r="G205" i="55" s="1"/>
  <c r="I214" i="55" a="1"/>
  <c r="I214" i="55" s="1"/>
  <c r="I222" i="55" a="1"/>
  <c r="I222" i="55" s="1"/>
  <c r="G224" i="55" a="1"/>
  <c r="G224" i="55" s="1"/>
  <c r="I181" i="55" a="1"/>
  <c r="I181" i="55" s="1"/>
  <c r="I189" i="55" a="1"/>
  <c r="I189" i="55" s="1"/>
  <c r="I200" i="55" a="1"/>
  <c r="I200" i="55" s="1"/>
  <c r="G212" i="55" a="1"/>
  <c r="G212" i="55" s="1"/>
  <c r="I221" i="55" a="1"/>
  <c r="I221" i="55" s="1"/>
  <c r="G180" i="55" a="1"/>
  <c r="G180" i="55" s="1"/>
  <c r="G188" i="55" a="1"/>
  <c r="G188" i="55" s="1"/>
  <c r="G199" i="55" a="1"/>
  <c r="G199" i="55" s="1"/>
  <c r="I210" i="55" a="1"/>
  <c r="I210" i="55" s="1"/>
  <c r="G219" i="55" a="1"/>
  <c r="G219" i="55" s="1"/>
  <c r="I182" i="55" a="1"/>
  <c r="I182" i="55" s="1"/>
  <c r="I190" i="55" a="1"/>
  <c r="I190" i="55" s="1"/>
  <c r="I206" i="55" a="1"/>
  <c r="I206" i="55" s="1"/>
  <c r="I215" i="55" a="1"/>
  <c r="I215" i="55" s="1"/>
  <c r="I223" i="55" a="1"/>
  <c r="I223" i="55" s="1"/>
  <c r="G96" i="55" a="1"/>
  <c r="G96" i="55" s="1"/>
  <c r="I99" i="55" a="1"/>
  <c r="I99" i="55" s="1"/>
  <c r="G103" i="55" a="1"/>
  <c r="G103" i="55" s="1"/>
  <c r="G149" i="55" a="1"/>
  <c r="G149" i="55" s="1"/>
  <c r="I157" i="55" a="1"/>
  <c r="I157" i="55" s="1"/>
  <c r="G165" i="55" a="1"/>
  <c r="G165" i="55" s="1"/>
  <c r="G173" i="55" a="1"/>
  <c r="G173" i="55" s="1"/>
  <c r="I169" i="55" a="1"/>
  <c r="I169" i="55" s="1"/>
  <c r="G175" i="55" a="1"/>
  <c r="G175" i="55" s="1"/>
  <c r="G154" i="55" a="1"/>
  <c r="G154" i="55" s="1"/>
  <c r="I161" i="55" a="1"/>
  <c r="I161" i="55" s="1"/>
  <c r="G172" i="55" a="1"/>
  <c r="G172" i="55" s="1"/>
  <c r="G150" i="55" a="1"/>
  <c r="G150" i="55" s="1"/>
  <c r="I158" i="55" a="1"/>
  <c r="I158" i="55" s="1"/>
  <c r="G167" i="55" a="1"/>
  <c r="G167" i="55" s="1"/>
  <c r="I150" i="55" a="1"/>
  <c r="I150" i="55" s="1"/>
  <c r="G159" i="55" a="1"/>
  <c r="G159" i="55" s="1"/>
  <c r="I167" i="55" a="1"/>
  <c r="I167" i="55" s="1"/>
  <c r="I175" i="55" a="1"/>
  <c r="I175" i="55" s="1"/>
  <c r="G114" i="55" a="1"/>
  <c r="G114" i="55" s="1"/>
  <c r="G122" i="55" a="1"/>
  <c r="G122" i="55" s="1"/>
  <c r="G130" i="55" a="1"/>
  <c r="G130" i="55" s="1"/>
  <c r="G138" i="55" a="1"/>
  <c r="G138" i="55" s="1"/>
  <c r="G146" i="55" a="1"/>
  <c r="G146" i="55" s="1"/>
  <c r="I111" i="55" a="1"/>
  <c r="I111" i="55" s="1"/>
  <c r="I120" i="55" a="1"/>
  <c r="I120" i="55" s="1"/>
  <c r="I128" i="55" a="1"/>
  <c r="I128" i="55" s="1"/>
  <c r="I136" i="55" a="1"/>
  <c r="I136" i="55" s="1"/>
  <c r="I144" i="55" a="1"/>
  <c r="I144" i="55" s="1"/>
  <c r="G112" i="55" a="1"/>
  <c r="G112" i="55" s="1"/>
  <c r="G121" i="55" a="1"/>
  <c r="G121" i="55" s="1"/>
  <c r="G129" i="55" a="1"/>
  <c r="G129" i="55" s="1"/>
  <c r="G137" i="55" a="1"/>
  <c r="G137" i="55" s="1"/>
  <c r="I112" i="55" a="1"/>
  <c r="I112" i="55" s="1"/>
  <c r="G458" i="55" a="1"/>
  <c r="G458" i="55" s="1"/>
  <c r="G525" i="55" a="1"/>
  <c r="G525" i="55" s="1"/>
  <c r="G345" i="55" a="1"/>
  <c r="G345" i="55" s="1"/>
  <c r="K345" i="55" s="1"/>
  <c r="G496" i="55" a="1"/>
  <c r="G496" i="55" s="1"/>
  <c r="G509" i="55" a="1"/>
  <c r="G509" i="55" s="1"/>
  <c r="G411" i="55" a="1"/>
  <c r="G411" i="55" s="1"/>
  <c r="G524" i="55" a="1"/>
  <c r="G524" i="55" s="1"/>
  <c r="G536" i="55" a="1"/>
  <c r="G536" i="55" s="1"/>
  <c r="K536" i="55" s="1"/>
  <c r="G360" i="55" a="1"/>
  <c r="G360" i="55" s="1"/>
  <c r="I365" i="55" a="1"/>
  <c r="I365" i="55" s="1"/>
  <c r="I427" i="55" a="1"/>
  <c r="I427" i="55" s="1"/>
  <c r="I508" i="55" a="1"/>
  <c r="I508" i="55" s="1"/>
  <c r="I466" i="55" a="1"/>
  <c r="I466" i="55" s="1"/>
  <c r="I503" i="55" a="1"/>
  <c r="I503" i="55" s="1"/>
  <c r="I527" i="55" a="1"/>
  <c r="I527" i="55" s="1"/>
  <c r="I379" i="55" a="1"/>
  <c r="I379" i="55" s="1"/>
  <c r="I391" i="55" a="1"/>
  <c r="I391" i="55" s="1"/>
  <c r="G541" i="55" a="1"/>
  <c r="G541" i="55" s="1"/>
  <c r="G583" i="55" a="1"/>
  <c r="G583" i="55" s="1"/>
  <c r="G514" i="55" a="1"/>
  <c r="G514" i="55" s="1"/>
  <c r="G584" i="55" a="1"/>
  <c r="G584" i="55" s="1"/>
  <c r="G371" i="55" a="1"/>
  <c r="G371" i="55" s="1"/>
  <c r="G357" i="55" a="1"/>
  <c r="G357" i="55" s="1"/>
  <c r="G394" i="55" a="1"/>
  <c r="G394" i="55" s="1"/>
  <c r="G474" i="55" a="1"/>
  <c r="G474" i="55" s="1"/>
  <c r="G472" i="55" a="1"/>
  <c r="G472" i="55" s="1"/>
  <c r="G387" i="55" a="1"/>
  <c r="G387" i="55" s="1"/>
  <c r="G574" i="55" a="1"/>
  <c r="G574" i="55" s="1"/>
  <c r="I582" i="55" a="1"/>
  <c r="I582" i="55" s="1"/>
  <c r="I471" i="55" a="1"/>
  <c r="I471" i="55" s="1"/>
  <c r="I446" i="55" a="1"/>
  <c r="I446" i="55" s="1"/>
  <c r="I412" i="55" a="1"/>
  <c r="I412" i="55" s="1"/>
  <c r="G438" i="55" a="1"/>
  <c r="G438" i="55" s="1"/>
  <c r="G374" i="55" a="1"/>
  <c r="G374" i="55" s="1"/>
  <c r="I438" i="55" a="1"/>
  <c r="I438" i="55" s="1"/>
  <c r="I374" i="55" a="1"/>
  <c r="I374" i="55" s="1"/>
  <c r="I440" i="55" a="1"/>
  <c r="I440" i="55" s="1"/>
  <c r="I229" i="55" a="1"/>
  <c r="I229" i="55" s="1"/>
  <c r="G106" i="55" a="1"/>
  <c r="G106" i="55" s="1"/>
  <c r="G183" i="55" a="1"/>
  <c r="G183" i="55" s="1"/>
  <c r="G192" i="55" a="1"/>
  <c r="G192" i="55" s="1"/>
  <c r="I208" i="55" a="1"/>
  <c r="I208" i="55" s="1"/>
  <c r="G217" i="55" a="1"/>
  <c r="G217" i="55" s="1"/>
  <c r="G225" i="55" a="1"/>
  <c r="G225" i="55" s="1"/>
  <c r="I220" i="55" a="1"/>
  <c r="I220" i="55" s="1"/>
  <c r="I183" i="55" a="1"/>
  <c r="I183" i="55" s="1"/>
  <c r="G191" i="55" a="1"/>
  <c r="G191" i="55" s="1"/>
  <c r="I205" i="55" a="1"/>
  <c r="I205" i="55" s="1"/>
  <c r="I213" i="55" a="1"/>
  <c r="I213" i="55" s="1"/>
  <c r="I225" i="55" a="1"/>
  <c r="I225" i="55" s="1"/>
  <c r="G182" i="55" a="1"/>
  <c r="G182" i="55" s="1"/>
  <c r="K182" i="55" s="1"/>
  <c r="G190" i="55" a="1"/>
  <c r="G190" i="55" s="1"/>
  <c r="K190" i="55" s="1"/>
  <c r="G203" i="55" a="1"/>
  <c r="G203" i="55" s="1"/>
  <c r="I212" i="55" a="1"/>
  <c r="I212" i="55" s="1"/>
  <c r="G223" i="55" a="1"/>
  <c r="G223" i="55" s="1"/>
  <c r="K223" i="55" s="1"/>
  <c r="I184" i="55" a="1"/>
  <c r="I184" i="55" s="1"/>
  <c r="I194" i="55" a="1"/>
  <c r="I194" i="55" s="1"/>
  <c r="G208" i="55" a="1"/>
  <c r="G208" i="55" s="1"/>
  <c r="K208" i="55" s="1"/>
  <c r="G218" i="55" a="1"/>
  <c r="G218" i="55" s="1"/>
  <c r="G102" i="55" a="1"/>
  <c r="G102" i="55" s="1"/>
  <c r="G94" i="55" a="1"/>
  <c r="G94" i="55" s="1"/>
  <c r="I97" i="55" a="1"/>
  <c r="I97" i="55" s="1"/>
  <c r="G101" i="55" a="1"/>
  <c r="G101" i="55" s="1"/>
  <c r="G152" i="55" a="1"/>
  <c r="G152" i="55" s="1"/>
  <c r="I159" i="55" a="1"/>
  <c r="I159" i="55" s="1"/>
  <c r="I166" i="55" a="1"/>
  <c r="I166" i="55" s="1"/>
  <c r="I174" i="55" a="1"/>
  <c r="I174" i="55" s="1"/>
  <c r="I173" i="55" a="1"/>
  <c r="I173" i="55" s="1"/>
  <c r="I149" i="55" a="1"/>
  <c r="I149" i="55" s="1"/>
  <c r="G156" i="55" a="1"/>
  <c r="G156" i="55" s="1"/>
  <c r="G164" i="55" a="1"/>
  <c r="G164" i="55" s="1"/>
  <c r="G176" i="55" a="1"/>
  <c r="G176" i="55" s="1"/>
  <c r="G349" i="55" a="1"/>
  <c r="G349" i="55" s="1"/>
  <c r="G356" i="55" a="1"/>
  <c r="G356" i="55" s="1"/>
  <c r="G413" i="55" a="1"/>
  <c r="G413" i="55" s="1"/>
  <c r="K413" i="55" s="1"/>
  <c r="G400" i="55" a="1"/>
  <c r="G400" i="55" s="1"/>
  <c r="K400" i="55" s="1"/>
  <c r="G571" i="55" a="1"/>
  <c r="G571" i="55" s="1"/>
  <c r="G380" i="55" a="1"/>
  <c r="G380" i="55" s="1"/>
  <c r="I541" i="55" a="1"/>
  <c r="I541" i="55" s="1"/>
  <c r="I583" i="55" a="1"/>
  <c r="I583" i="55" s="1"/>
  <c r="I514" i="55" a="1"/>
  <c r="I514" i="55" s="1"/>
  <c r="I584" i="55" a="1"/>
  <c r="I584" i="55" s="1"/>
  <c r="I371" i="55" a="1"/>
  <c r="I371" i="55" s="1"/>
  <c r="I357" i="55" a="1"/>
  <c r="I357" i="55" s="1"/>
  <c r="I394" i="55" a="1"/>
  <c r="I394" i="55" s="1"/>
  <c r="G460" i="55" a="1"/>
  <c r="G460" i="55" s="1"/>
  <c r="G383" i="55" a="1"/>
  <c r="G383" i="55" s="1"/>
  <c r="G534" i="55" a="1"/>
  <c r="G534" i="55" s="1"/>
  <c r="G382" i="55" a="1"/>
  <c r="G382" i="55" s="1"/>
  <c r="G437" i="55" a="1"/>
  <c r="G437" i="55" s="1"/>
  <c r="G362" i="55" a="1"/>
  <c r="G362" i="55" s="1"/>
  <c r="G543" i="55" a="1"/>
  <c r="G543" i="55" s="1"/>
  <c r="G416" i="55" a="1"/>
  <c r="G416" i="55" s="1"/>
  <c r="K416" i="55" s="1"/>
  <c r="I452" i="55" a="1"/>
  <c r="I452" i="55" s="1"/>
  <c r="I564" i="55" a="1"/>
  <c r="I564" i="55" s="1"/>
  <c r="G506" i="55" a="1"/>
  <c r="G506" i="55" s="1"/>
  <c r="I506" i="55" a="1"/>
  <c r="I506" i="55" s="1"/>
  <c r="G228" i="55" a="1"/>
  <c r="G228" i="55" s="1"/>
  <c r="G95" i="55" a="1"/>
  <c r="G95" i="55" s="1"/>
  <c r="G185" i="55" a="1"/>
  <c r="G185" i="55" s="1"/>
  <c r="G198" i="55" a="1"/>
  <c r="G198" i="55" s="1"/>
  <c r="I211" i="55" a="1"/>
  <c r="I211" i="55" s="1"/>
  <c r="I218" i="55" a="1"/>
  <c r="I218" i="55" s="1"/>
  <c r="I226" i="55" a="1"/>
  <c r="I226" i="55" s="1"/>
  <c r="G227" i="55" a="1"/>
  <c r="G227" i="55" s="1"/>
  <c r="I185" i="55" a="1"/>
  <c r="I185" i="55" s="1"/>
  <c r="I192" i="55" a="1"/>
  <c r="I192" i="55" s="1"/>
  <c r="G207" i="55" a="1"/>
  <c r="G207" i="55" s="1"/>
  <c r="G216" i="55" a="1"/>
  <c r="G216" i="55" s="1"/>
  <c r="I224" i="55" a="1"/>
  <c r="I224" i="55" s="1"/>
  <c r="G184" i="55" a="1"/>
  <c r="G184" i="55" s="1"/>
  <c r="K184" i="55" s="1"/>
  <c r="I191" i="55" a="1"/>
  <c r="I191" i="55" s="1"/>
  <c r="G206" i="55" a="1"/>
  <c r="G206" i="55" s="1"/>
  <c r="K206" i="55" s="1"/>
  <c r="G215" i="55" a="1"/>
  <c r="G215" i="55" s="1"/>
  <c r="K215" i="55" s="1"/>
  <c r="G226" i="55" a="1"/>
  <c r="G226" i="55" s="1"/>
  <c r="I186" i="55" a="1"/>
  <c r="I186" i="55" s="1"/>
  <c r="I199" i="55" a="1"/>
  <c r="I199" i="55" s="1"/>
  <c r="G211" i="55" a="1"/>
  <c r="G211" i="55" s="1"/>
  <c r="K211" i="55" s="1"/>
  <c r="I219" i="55" a="1"/>
  <c r="I219" i="55" s="1"/>
  <c r="G100" i="55" a="1"/>
  <c r="G100" i="55" s="1"/>
  <c r="G395" i="55" a="1"/>
  <c r="G395" i="55" s="1"/>
  <c r="G347" i="55" a="1"/>
  <c r="G347" i="55" s="1"/>
  <c r="G409" i="55" a="1"/>
  <c r="G409" i="55" s="1"/>
  <c r="G359" i="55" a="1"/>
  <c r="G359" i="55" s="1"/>
  <c r="G457" i="55" a="1"/>
  <c r="G457" i="55" s="1"/>
  <c r="K457" i="55" s="1"/>
  <c r="G401" i="55" a="1"/>
  <c r="G401" i="55" s="1"/>
  <c r="G523" i="55" a="1"/>
  <c r="G523" i="55" s="1"/>
  <c r="I460" i="55" a="1"/>
  <c r="I460" i="55" s="1"/>
  <c r="I383" i="55" a="1"/>
  <c r="I383" i="55" s="1"/>
  <c r="I534" i="55" a="1"/>
  <c r="I534" i="55" s="1"/>
  <c r="I382" i="55" a="1"/>
  <c r="I382" i="55" s="1"/>
  <c r="I437" i="55" a="1"/>
  <c r="I437" i="55" s="1"/>
  <c r="G365" i="55" a="1"/>
  <c r="G365" i="55" s="1"/>
  <c r="G370" i="55" a="1"/>
  <c r="G370" i="55" s="1"/>
  <c r="G468" i="55" a="1"/>
  <c r="G468" i="55" s="1"/>
  <c r="G368" i="55" a="1"/>
  <c r="G368" i="55" s="1"/>
  <c r="G510" i="55" a="1"/>
  <c r="G510" i="55" s="1"/>
  <c r="G14" i="55" a="1"/>
  <c r="G14" i="55" s="1"/>
  <c r="G582" i="55" a="1"/>
  <c r="G582" i="55" s="1"/>
  <c r="G471" i="55" a="1"/>
  <c r="G471" i="55" s="1"/>
  <c r="G446" i="55" a="1"/>
  <c r="G446" i="55" s="1"/>
  <c r="G412" i="55" a="1"/>
  <c r="G412" i="55" s="1"/>
  <c r="I346" i="55" a="1"/>
  <c r="I346" i="55" s="1"/>
  <c r="I474" i="55" a="1"/>
  <c r="I474" i="55" s="1"/>
  <c r="I472" i="55" a="1"/>
  <c r="I472" i="55" s="1"/>
  <c r="I387" i="55" a="1"/>
  <c r="I387" i="55" s="1"/>
  <c r="G576" i="55" a="1"/>
  <c r="G576" i="55" s="1"/>
  <c r="G419" i="55" a="1"/>
  <c r="G419" i="55" s="1"/>
  <c r="G440" i="55" a="1"/>
  <c r="G440" i="55" s="1"/>
  <c r="I576" i="55" a="1"/>
  <c r="I576" i="55" s="1"/>
  <c r="I419" i="55" a="1"/>
  <c r="I419" i="55" s="1"/>
  <c r="I574" i="55" a="1"/>
  <c r="I574" i="55" s="1"/>
  <c r="G104" i="55" a="1"/>
  <c r="G104" i="55" s="1"/>
  <c r="I228" i="55" a="1"/>
  <c r="I228" i="55" s="1"/>
  <c r="G179" i="55" a="1"/>
  <c r="G179" i="55" s="1"/>
  <c r="G187" i="55" a="1"/>
  <c r="G187" i="55" s="1"/>
  <c r="G200" i="55" a="1"/>
  <c r="G200" i="55" s="1"/>
  <c r="K200" i="55" s="1"/>
  <c r="G213" i="55" a="1"/>
  <c r="G213" i="55" s="1"/>
  <c r="K213" i="55" s="1"/>
  <c r="G221" i="55" a="1"/>
  <c r="G221" i="55" s="1"/>
  <c r="K221" i="55" s="1"/>
  <c r="G220" i="55" a="1"/>
  <c r="G220" i="55" s="1"/>
  <c r="K220" i="55" s="1"/>
  <c r="I179" i="55" a="1"/>
  <c r="I179" i="55" s="1"/>
  <c r="I187" i="55" a="1"/>
  <c r="I187" i="55" s="1"/>
  <c r="I198" i="55" a="1"/>
  <c r="I198" i="55" s="1"/>
  <c r="G210" i="55" a="1"/>
  <c r="G210" i="55" s="1"/>
  <c r="K210" i="55" s="1"/>
  <c r="I217" i="55" a="1"/>
  <c r="I217" i="55" s="1"/>
  <c r="I227" i="55" a="1"/>
  <c r="I227" i="55" s="1"/>
  <c r="G186" i="55" a="1"/>
  <c r="G186" i="55" s="1"/>
  <c r="K186" i="55" s="1"/>
  <c r="G194" i="55" a="1"/>
  <c r="G194" i="55" s="1"/>
  <c r="K194" i="55" s="1"/>
  <c r="I207" i="55" a="1"/>
  <c r="I207" i="55" s="1"/>
  <c r="I216" i="55" a="1"/>
  <c r="I216" i="55" s="1"/>
  <c r="I180" i="55" a="1"/>
  <c r="I180" i="55" s="1"/>
  <c r="I188" i="55" a="1"/>
  <c r="I188" i="55" s="1"/>
  <c r="I203" i="55" a="1"/>
  <c r="I203" i="55" s="1"/>
  <c r="G214" i="55" a="1"/>
  <c r="G214" i="55" s="1"/>
  <c r="G222" i="55" a="1"/>
  <c r="G222" i="55" s="1"/>
  <c r="K222" i="55" s="1"/>
  <c r="G98" i="55" a="1"/>
  <c r="G98" i="55" s="1"/>
  <c r="I101" i="55" a="1"/>
  <c r="I101" i="55" s="1"/>
  <c r="G108" i="55" a="1"/>
  <c r="G108" i="55" s="1"/>
  <c r="G97" i="55" a="1"/>
  <c r="G97" i="55" s="1"/>
  <c r="K97" i="55" s="1"/>
  <c r="I155" i="55" a="1"/>
  <c r="I155" i="55" s="1"/>
  <c r="I162" i="55" a="1"/>
  <c r="I162" i="55" s="1"/>
  <c r="I170" i="55" a="1"/>
  <c r="I170" i="55" s="1"/>
  <c r="I178" i="55" a="1"/>
  <c r="I178" i="55" s="1"/>
  <c r="I172" i="55" a="1"/>
  <c r="I172" i="55" s="1"/>
  <c r="I152" i="55" a="1"/>
  <c r="I152" i="55" s="1"/>
  <c r="G160" i="55" a="1"/>
  <c r="G160" i="55" s="1"/>
  <c r="G168" i="55" a="1"/>
  <c r="G168" i="55" s="1"/>
  <c r="G99" i="55" a="1"/>
  <c r="G99" i="55" s="1"/>
  <c r="K99" i="55" s="1"/>
  <c r="G177" i="55" a="1"/>
  <c r="G177" i="55" s="1"/>
  <c r="I165" i="55" a="1"/>
  <c r="I165" i="55" s="1"/>
  <c r="I154" i="55" a="1"/>
  <c r="I154" i="55" s="1"/>
  <c r="I164" i="55" a="1"/>
  <c r="I164" i="55" s="1"/>
  <c r="G153" i="55" a="1"/>
  <c r="G153" i="55" s="1"/>
  <c r="I163" i="55" a="1"/>
  <c r="I163" i="55" s="1"/>
  <c r="G174" i="55" a="1"/>
  <c r="G174" i="55" s="1"/>
  <c r="K174" i="55" s="1"/>
  <c r="G116" i="55" a="1"/>
  <c r="G116" i="55" s="1"/>
  <c r="G126" i="55" a="1"/>
  <c r="G126" i="55" s="1"/>
  <c r="G136" i="55" a="1"/>
  <c r="G136" i="55" s="1"/>
  <c r="K136" i="55" s="1"/>
  <c r="I147" i="55" a="1"/>
  <c r="I147" i="55" s="1"/>
  <c r="I116" i="55" a="1"/>
  <c r="I116" i="55" s="1"/>
  <c r="I126" i="55" a="1"/>
  <c r="I126" i="55" s="1"/>
  <c r="I138" i="55" a="1"/>
  <c r="I138" i="55" s="1"/>
  <c r="G143" i="55" a="1"/>
  <c r="G143" i="55" s="1"/>
  <c r="G119" i="55" a="1"/>
  <c r="G119" i="55" s="1"/>
  <c r="G131" i="55" a="1"/>
  <c r="G131" i="55" s="1"/>
  <c r="G141" i="55" a="1"/>
  <c r="G141" i="55" s="1"/>
  <c r="I119" i="55" a="1"/>
  <c r="I119" i="55" s="1"/>
  <c r="I127" i="55" a="1"/>
  <c r="I127" i="55" s="1"/>
  <c r="I135" i="55" a="1"/>
  <c r="I135" i="55" s="1"/>
  <c r="I143" i="55" a="1"/>
  <c r="I143" i="55" s="1"/>
  <c r="G105" i="55" a="1"/>
  <c r="G105" i="55" s="1"/>
  <c r="I102" i="55" a="1"/>
  <c r="I102" i="55" s="1"/>
  <c r="I94" i="55" a="1"/>
  <c r="I94" i="55" s="1"/>
  <c r="I137" i="55" a="1"/>
  <c r="I137" i="55" s="1"/>
  <c r="I100" i="55" a="1"/>
  <c r="I100" i="55" s="1"/>
  <c r="I131" i="55" a="1"/>
  <c r="I131" i="55" s="1"/>
  <c r="I106" i="55" a="1"/>
  <c r="I106" i="55" s="1"/>
  <c r="I96" i="55" a="1"/>
  <c r="I96" i="55" s="1"/>
  <c r="I153" i="55" a="1"/>
  <c r="I153" i="55" s="1"/>
  <c r="I177" i="55" a="1"/>
  <c r="I177" i="55" s="1"/>
  <c r="I176" i="55" a="1"/>
  <c r="I176" i="55" s="1"/>
  <c r="I156" i="55" a="1"/>
  <c r="I156" i="55" s="1"/>
  <c r="I168" i="55" a="1"/>
  <c r="I168" i="55" s="1"/>
  <c r="G155" i="55" a="1"/>
  <c r="G155" i="55" s="1"/>
  <c r="K155" i="55" s="1"/>
  <c r="G166" i="55" a="1"/>
  <c r="G166" i="55" s="1"/>
  <c r="K166" i="55" s="1"/>
  <c r="G178" i="55" a="1"/>
  <c r="G178" i="55" s="1"/>
  <c r="G118" i="55" a="1"/>
  <c r="G118" i="55" s="1"/>
  <c r="G128" i="55" a="1"/>
  <c r="G128" i="55" s="1"/>
  <c r="G140" i="55" a="1"/>
  <c r="G140" i="55" s="1"/>
  <c r="G145" i="55" a="1"/>
  <c r="G145" i="55" s="1"/>
  <c r="I118" i="55" a="1"/>
  <c r="I118" i="55" s="1"/>
  <c r="I130" i="55" a="1"/>
  <c r="I130" i="55" s="1"/>
  <c r="I140" i="55" a="1"/>
  <c r="I140" i="55" s="1"/>
  <c r="G110" i="55" a="1"/>
  <c r="G110" i="55" s="1"/>
  <c r="G123" i="55" a="1"/>
  <c r="G123" i="55" s="1"/>
  <c r="G133" i="55" a="1"/>
  <c r="G133" i="55" s="1"/>
  <c r="I110" i="55" a="1"/>
  <c r="I110" i="55" s="1"/>
  <c r="I121" i="55" a="1"/>
  <c r="I121" i="55" s="1"/>
  <c r="I129" i="55" a="1"/>
  <c r="I129" i="55" s="1"/>
  <c r="I145" i="55" a="1"/>
  <c r="I145" i="55" s="1"/>
  <c r="I123" i="55" a="1"/>
  <c r="I123" i="55" s="1"/>
  <c r="G147" i="55" a="1"/>
  <c r="G147" i="55" s="1"/>
  <c r="I104" i="55" a="1"/>
  <c r="I104" i="55" s="1"/>
  <c r="I103" i="55" a="1"/>
  <c r="I103" i="55" s="1"/>
  <c r="G161" i="55" a="1"/>
  <c r="G161" i="55" s="1"/>
  <c r="G151" i="55" a="1"/>
  <c r="G151" i="55" s="1"/>
  <c r="G148" i="55" a="1"/>
  <c r="G148" i="55" s="1"/>
  <c r="I160" i="55" a="1"/>
  <c r="I160" i="55" s="1"/>
  <c r="G171" i="55" a="1"/>
  <c r="G171" i="55" s="1"/>
  <c r="G157" i="55" a="1"/>
  <c r="G157" i="55" s="1"/>
  <c r="K157" i="55" s="1"/>
  <c r="G170" i="55" a="1"/>
  <c r="G170" i="55" s="1"/>
  <c r="G109" i="55" a="1"/>
  <c r="G109" i="55" s="1"/>
  <c r="G120" i="55" a="1"/>
  <c r="G120" i="55" s="1"/>
  <c r="K120" i="55" s="1"/>
  <c r="G132" i="55" a="1"/>
  <c r="G132" i="55" s="1"/>
  <c r="G142" i="55" a="1"/>
  <c r="G142" i="55" s="1"/>
  <c r="I109" i="55" a="1"/>
  <c r="I109" i="55" s="1"/>
  <c r="I122" i="55" a="1"/>
  <c r="I122" i="55" s="1"/>
  <c r="I132" i="55" a="1"/>
  <c r="I132" i="55" s="1"/>
  <c r="I142" i="55" a="1"/>
  <c r="I142" i="55" s="1"/>
  <c r="G115" i="55" a="1"/>
  <c r="G115" i="55" s="1"/>
  <c r="G125" i="55" a="1"/>
  <c r="G125" i="55" s="1"/>
  <c r="G135" i="55" a="1"/>
  <c r="G135" i="55" s="1"/>
  <c r="I115" i="55" a="1"/>
  <c r="I115" i="55" s="1"/>
  <c r="I139" i="55" a="1"/>
  <c r="I139" i="55" s="1"/>
  <c r="I98" i="55" a="1"/>
  <c r="I98" i="55" s="1"/>
  <c r="I95" i="55" a="1"/>
  <c r="I95" i="55" s="1"/>
  <c r="G169" i="55" a="1"/>
  <c r="G169" i="55" s="1"/>
  <c r="K169" i="55" s="1"/>
  <c r="G158" i="55" a="1"/>
  <c r="G158" i="55" s="1"/>
  <c r="K158" i="55" s="1"/>
  <c r="I151" i="55" a="1"/>
  <c r="I151" i="55" s="1"/>
  <c r="G163" i="55" a="1"/>
  <c r="G163" i="55" s="1"/>
  <c r="K163" i="55" s="1"/>
  <c r="I148" i="55" a="1"/>
  <c r="I148" i="55" s="1"/>
  <c r="G162" i="55" a="1"/>
  <c r="G162" i="55" s="1"/>
  <c r="K162" i="55" s="1"/>
  <c r="I171" i="55" a="1"/>
  <c r="I171" i="55" s="1"/>
  <c r="G111" i="55" a="1"/>
  <c r="G111" i="55" s="1"/>
  <c r="K111" i="55" s="1"/>
  <c r="G124" i="55" a="1"/>
  <c r="G124" i="55" s="1"/>
  <c r="G134" i="55" a="1"/>
  <c r="G134" i="55" s="1"/>
  <c r="G144" i="55" a="1"/>
  <c r="G144" i="55" s="1"/>
  <c r="K144" i="55" s="1"/>
  <c r="I114" i="55" a="1"/>
  <c r="I114" i="55" s="1"/>
  <c r="I124" i="55" a="1"/>
  <c r="I124" i="55" s="1"/>
  <c r="I134" i="55" a="1"/>
  <c r="I134" i="55" s="1"/>
  <c r="I146" i="55" a="1"/>
  <c r="I146" i="55" s="1"/>
  <c r="G117" i="55" a="1"/>
  <c r="G117" i="55" s="1"/>
  <c r="G127" i="55" a="1"/>
  <c r="G127" i="55" s="1"/>
  <c r="K127" i="55" s="1"/>
  <c r="G139" i="55" a="1"/>
  <c r="G139" i="55" s="1"/>
  <c r="K139" i="55" s="1"/>
  <c r="I117" i="55" a="1"/>
  <c r="I117" i="55" s="1"/>
  <c r="I125" i="55" a="1"/>
  <c r="I125" i="55" s="1"/>
  <c r="I133" i="55" a="1"/>
  <c r="I133" i="55" s="1"/>
  <c r="I141" i="55" a="1"/>
  <c r="I141" i="55" s="1"/>
  <c r="I105" i="55" a="1"/>
  <c r="I105" i="55" s="1"/>
  <c r="A4" i="12"/>
  <c r="A5" i="12"/>
  <c r="A6" i="12"/>
  <c r="A7" i="12"/>
  <c r="A8" i="12"/>
  <c r="A9" i="12"/>
  <c r="K135" i="55" l="1"/>
  <c r="K108" i="55"/>
  <c r="K214" i="55"/>
  <c r="K161" i="55"/>
  <c r="K128" i="55"/>
  <c r="K178" i="55"/>
  <c r="K131" i="55"/>
  <c r="K117" i="55"/>
  <c r="K110" i="55"/>
  <c r="K145" i="55"/>
  <c r="K150" i="55"/>
  <c r="K151" i="55"/>
  <c r="K177" i="55"/>
  <c r="K170" i="55"/>
  <c r="K123" i="55"/>
  <c r="K141" i="55"/>
  <c r="K160" i="55"/>
  <c r="K218" i="55"/>
  <c r="K147" i="55"/>
  <c r="K142" i="55"/>
  <c r="K105" i="55"/>
  <c r="K143" i="55"/>
  <c r="K179" i="55"/>
  <c r="K167" i="55"/>
  <c r="K124" i="55"/>
  <c r="K118" i="55"/>
  <c r="K168" i="55"/>
  <c r="K228" i="55"/>
  <c r="K164" i="55"/>
  <c r="K101" i="55"/>
  <c r="K191" i="55"/>
  <c r="K217" i="55"/>
  <c r="K106" i="55"/>
  <c r="K121" i="55"/>
  <c r="K138" i="55"/>
  <c r="K173" i="55"/>
  <c r="K103" i="55"/>
  <c r="K219" i="55"/>
  <c r="K180" i="55"/>
  <c r="K216" i="55"/>
  <c r="K227" i="55"/>
  <c r="K198" i="55"/>
  <c r="K156" i="55"/>
  <c r="K112" i="55"/>
  <c r="K130" i="55"/>
  <c r="K154" i="55"/>
  <c r="K165" i="55"/>
  <c r="K205" i="55"/>
  <c r="K229" i="55"/>
  <c r="K125" i="55"/>
  <c r="K126" i="55"/>
  <c r="K153" i="55"/>
  <c r="K104" i="55"/>
  <c r="K100" i="55"/>
  <c r="K207" i="55"/>
  <c r="K185" i="55"/>
  <c r="K94" i="55"/>
  <c r="K203" i="55"/>
  <c r="K192" i="55"/>
  <c r="K137" i="55"/>
  <c r="K122" i="55"/>
  <c r="K159" i="55"/>
  <c r="K175" i="55"/>
  <c r="K96" i="55"/>
  <c r="K199" i="55"/>
  <c r="K212" i="55"/>
  <c r="K224" i="55"/>
  <c r="K189" i="55"/>
  <c r="K148" i="55"/>
  <c r="K132" i="55"/>
  <c r="K171" i="55"/>
  <c r="K140" i="55"/>
  <c r="K134" i="55"/>
  <c r="K115" i="55"/>
  <c r="K109" i="55"/>
  <c r="K133" i="55"/>
  <c r="K119" i="55"/>
  <c r="K116" i="55"/>
  <c r="K98" i="55"/>
  <c r="K187" i="55"/>
  <c r="K226" i="55"/>
  <c r="K95" i="55"/>
  <c r="K176" i="55"/>
  <c r="K152" i="55"/>
  <c r="K102" i="55"/>
  <c r="K225" i="55"/>
  <c r="K183" i="55"/>
  <c r="K129" i="55"/>
  <c r="K146" i="55"/>
  <c r="K114" i="55"/>
  <c r="K172" i="55"/>
  <c r="K149" i="55"/>
  <c r="K188" i="55"/>
  <c r="K181" i="55"/>
  <c r="K347" i="55"/>
  <c r="K492" i="55"/>
  <c r="K14" i="55"/>
  <c r="K359" i="55"/>
  <c r="K401" i="55"/>
  <c r="K471" i="55"/>
  <c r="K582" i="55"/>
  <c r="K380" i="55"/>
  <c r="K545" i="55"/>
  <c r="K409" i="55"/>
  <c r="K370" i="55"/>
  <c r="K362" i="55"/>
  <c r="K365" i="55"/>
  <c r="K496" i="55"/>
  <c r="K422" i="55"/>
  <c r="K571" i="55"/>
  <c r="K411" i="55"/>
  <c r="K360" i="55"/>
  <c r="K45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481" i="55"/>
  <c r="K441" i="55"/>
  <c r="K440" i="55"/>
  <c r="K506" i="55"/>
  <c r="K474" i="55"/>
  <c r="K503" i="55"/>
  <c r="K445" i="55"/>
  <c r="K408" i="55"/>
  <c r="K460" i="55"/>
  <c r="K371" i="55"/>
  <c r="K399" i="55"/>
  <c r="K376" i="55"/>
  <c r="K379" i="55"/>
  <c r="K508" i="55"/>
  <c r="K569" i="55"/>
  <c r="K534" i="55"/>
  <c r="K372" i="55"/>
  <c r="K554" i="55"/>
  <c r="K404" i="55"/>
  <c r="K543" i="55"/>
  <c r="K525" i="55"/>
  <c r="K395" i="55"/>
  <c r="K510" i="55"/>
  <c r="K468" i="55"/>
  <c r="K523" i="55"/>
  <c r="K356" i="55"/>
  <c r="K349" i="55"/>
  <c r="K524" i="55"/>
  <c r="K412" i="55"/>
  <c r="K348" i="55"/>
  <c r="K424" i="55"/>
  <c r="K509" i="55"/>
  <c r="K465" i="55"/>
  <c r="K368" i="55"/>
  <c r="K446" i="55"/>
  <c r="K544" i="55"/>
  <c r="K576" i="55"/>
  <c r="K437" i="55"/>
  <c r="K438" i="55"/>
  <c r="K541" i="55"/>
  <c r="K564" i="55"/>
  <c r="K391" i="55"/>
  <c r="K529" i="55"/>
  <c r="K531" i="55"/>
  <c r="K419" i="55"/>
  <c r="K382" i="55"/>
  <c r="K387" i="55"/>
  <c r="K394" i="55"/>
  <c r="K584" i="55"/>
  <c r="K452" i="55"/>
  <c r="K466" i="55"/>
  <c r="K421" i="55"/>
  <c r="K454" i="55"/>
  <c r="K565" i="55"/>
  <c r="K383" i="55"/>
  <c r="K472" i="55"/>
  <c r="K357" i="55"/>
  <c r="K514" i="55"/>
  <c r="K568" i="55"/>
  <c r="K374" i="55"/>
  <c r="K574" i="55"/>
  <c r="K583" i="55"/>
  <c r="K578" i="55"/>
  <c r="K346" i="55"/>
  <c r="K527" i="55"/>
  <c r="K427" i="55"/>
  <c r="K393" i="55"/>
  <c r="A12" i="43"/>
  <c r="G84" i="55" a="1"/>
  <c r="G84" i="55" s="1"/>
  <c r="G86" i="55" a="1"/>
  <c r="G86" i="55" s="1"/>
  <c r="G92" i="55" a="1"/>
  <c r="G92" i="55" s="1"/>
  <c r="A16" i="55"/>
  <c r="B15" i="55"/>
  <c r="A15" i="55" s="1"/>
  <c r="B13" i="55"/>
  <c r="B12" i="55"/>
  <c r="K19" i="34" l="1"/>
  <c r="K18" i="34"/>
  <c r="K16" i="34"/>
  <c r="K10" i="34" l="1"/>
  <c r="C11" i="34"/>
  <c r="B11" i="34" s="1"/>
  <c r="A11" i="34" s="1"/>
  <c r="C12" i="34"/>
  <c r="B12" i="34" s="1"/>
  <c r="A12" i="34" s="1"/>
  <c r="C13" i="34"/>
  <c r="B13" i="34" s="1"/>
  <c r="A13" i="34" s="1"/>
  <c r="C14" i="34"/>
  <c r="B14" i="34" s="1"/>
  <c r="A14" i="34" s="1"/>
  <c r="C15" i="34"/>
  <c r="B15" i="34" s="1"/>
  <c r="A15" i="34" s="1"/>
  <c r="C20" i="34"/>
  <c r="B20" i="34" s="1"/>
  <c r="C16" i="34"/>
  <c r="B16" i="34" s="1"/>
  <c r="A16" i="34" s="1"/>
  <c r="C17" i="34"/>
  <c r="B17" i="34" s="1"/>
  <c r="A17" i="34" s="1"/>
  <c r="C18" i="34"/>
  <c r="B18" i="34" s="1"/>
  <c r="A18" i="34" s="1"/>
  <c r="C19" i="34"/>
  <c r="B19" i="34" s="1"/>
  <c r="C10" i="34"/>
  <c r="B10" i="34" s="1"/>
  <c r="A19" i="34" l="1"/>
  <c r="U19" i="34"/>
  <c r="Z19" i="34"/>
  <c r="P19" i="34"/>
  <c r="Q19" i="34"/>
  <c r="O19" i="34"/>
  <c r="O20" i="34"/>
  <c r="P20" i="34"/>
  <c r="Q20" i="34"/>
  <c r="U20" i="34"/>
  <c r="Z20" i="34"/>
  <c r="A20" i="34"/>
  <c r="Q18" i="34"/>
  <c r="U18" i="34"/>
  <c r="Z18" i="34"/>
  <c r="O18" i="34"/>
  <c r="P18" i="34"/>
  <c r="Z17" i="34"/>
  <c r="O17" i="34"/>
  <c r="P17" i="34"/>
  <c r="Q17" i="34"/>
  <c r="U17" i="34"/>
  <c r="U13" i="34"/>
  <c r="U12" i="34"/>
  <c r="U10" i="34"/>
  <c r="U15" i="34"/>
  <c r="U11" i="34"/>
  <c r="U14" i="34"/>
  <c r="U16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P12" i="34"/>
  <c r="Q12" i="34"/>
  <c r="O12" i="34"/>
  <c r="Z12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24" i="42" l="1"/>
  <c r="E124" i="42"/>
  <c r="I124" i="42" s="1"/>
  <c r="B124" i="42"/>
  <c r="F124" i="42"/>
  <c r="C124" i="42"/>
  <c r="G124" i="42"/>
  <c r="D124" i="42"/>
  <c r="H124" i="42"/>
  <c r="A110" i="42"/>
  <c r="E110" i="42"/>
  <c r="A111" i="42"/>
  <c r="E111" i="42"/>
  <c r="A112" i="42"/>
  <c r="E112" i="42"/>
  <c r="A113" i="42"/>
  <c r="E113" i="42"/>
  <c r="A114" i="42"/>
  <c r="E114" i="42"/>
  <c r="A115" i="42"/>
  <c r="E115" i="42"/>
  <c r="A116" i="42"/>
  <c r="E116" i="42"/>
  <c r="A117" i="42"/>
  <c r="E117" i="42"/>
  <c r="A118" i="42"/>
  <c r="E118" i="42"/>
  <c r="A119" i="42"/>
  <c r="E119" i="42"/>
  <c r="A120" i="42"/>
  <c r="E120" i="42"/>
  <c r="A121" i="42"/>
  <c r="E121" i="42"/>
  <c r="A122" i="42"/>
  <c r="E122" i="42"/>
  <c r="A123" i="42"/>
  <c r="E123" i="42"/>
  <c r="B110" i="42"/>
  <c r="F110" i="42"/>
  <c r="B111" i="42"/>
  <c r="F111" i="42"/>
  <c r="B112" i="42"/>
  <c r="F112" i="42"/>
  <c r="B113" i="42"/>
  <c r="F113" i="42"/>
  <c r="B114" i="42"/>
  <c r="F114" i="42"/>
  <c r="B115" i="42"/>
  <c r="F115" i="42"/>
  <c r="B116" i="42"/>
  <c r="F116" i="42"/>
  <c r="B117" i="42"/>
  <c r="F117" i="42"/>
  <c r="B118" i="42"/>
  <c r="F118" i="42"/>
  <c r="B119" i="42"/>
  <c r="F119" i="42"/>
  <c r="B120" i="42"/>
  <c r="F120" i="42"/>
  <c r="B121" i="42"/>
  <c r="F121" i="42"/>
  <c r="B122" i="42"/>
  <c r="F122" i="42"/>
  <c r="B123" i="42"/>
  <c r="F123" i="42"/>
  <c r="C110" i="42"/>
  <c r="G110" i="42"/>
  <c r="C111" i="42"/>
  <c r="G111" i="42"/>
  <c r="C112" i="42"/>
  <c r="G112" i="42"/>
  <c r="C113" i="42"/>
  <c r="G113" i="42"/>
  <c r="C114" i="42"/>
  <c r="G114" i="42"/>
  <c r="C115" i="42"/>
  <c r="G115" i="42"/>
  <c r="C116" i="42"/>
  <c r="G116" i="42"/>
  <c r="C117" i="42"/>
  <c r="G117" i="42"/>
  <c r="C118" i="42"/>
  <c r="G118" i="42"/>
  <c r="C119" i="42"/>
  <c r="G119" i="42"/>
  <c r="C120" i="42"/>
  <c r="G120" i="42"/>
  <c r="C121" i="42"/>
  <c r="G121" i="42"/>
  <c r="C122" i="42"/>
  <c r="G122" i="42"/>
  <c r="C123" i="42"/>
  <c r="G123" i="42"/>
  <c r="D110" i="42"/>
  <c r="H110" i="42"/>
  <c r="D111" i="42"/>
  <c r="H111" i="42"/>
  <c r="D112" i="42"/>
  <c r="H112" i="42"/>
  <c r="D113" i="42"/>
  <c r="H113" i="42"/>
  <c r="D114" i="42"/>
  <c r="H114" i="42"/>
  <c r="D115" i="42"/>
  <c r="H115" i="42"/>
  <c r="D116" i="42"/>
  <c r="H116" i="42"/>
  <c r="D117" i="42"/>
  <c r="H117" i="42"/>
  <c r="D118" i="42"/>
  <c r="H118" i="42"/>
  <c r="D119" i="42"/>
  <c r="H119" i="42"/>
  <c r="D120" i="42"/>
  <c r="H120" i="42"/>
  <c r="D121" i="42"/>
  <c r="H121" i="42"/>
  <c r="D122" i="42"/>
  <c r="H122" i="42"/>
  <c r="D123" i="42"/>
  <c r="H123" i="42"/>
  <c r="A109" i="42"/>
  <c r="E109" i="42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K29" i="77" s="1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G33" i="74" s="1"/>
  <c r="B31" i="74"/>
  <c r="E28" i="74"/>
  <c r="L28" i="74" s="1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D34" i="74"/>
  <c r="I34" i="74" s="1"/>
  <c r="C31" i="74"/>
  <c r="F28" i="74"/>
  <c r="E26" i="74"/>
  <c r="L26" i="74" s="1"/>
  <c r="A24" i="74"/>
  <c r="F21" i="74"/>
  <c r="C18" i="74"/>
  <c r="C34" i="74"/>
  <c r="F31" i="74"/>
  <c r="D29" i="74"/>
  <c r="I29" i="74" s="1"/>
  <c r="A27" i="74"/>
  <c r="D23" i="74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J29" i="77"/>
  <c r="L29" i="77"/>
  <c r="G29" i="77"/>
  <c r="I29" i="77"/>
  <c r="J19" i="77"/>
  <c r="M21" i="74"/>
  <c r="L19" i="74"/>
  <c r="L33" i="74"/>
  <c r="H34" i="74"/>
  <c r="H21" i="74"/>
  <c r="J21" i="74"/>
  <c r="G21" i="74"/>
  <c r="H25" i="74"/>
  <c r="H19" i="74"/>
  <c r="H33" i="74"/>
  <c r="J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30" i="42"/>
  <c r="G82" i="43"/>
  <c r="G18" i="74" l="1"/>
  <c r="J29" i="74"/>
  <c r="H19" i="75"/>
  <c r="I17" i="74"/>
  <c r="L29" i="74"/>
  <c r="G24" i="77"/>
  <c r="H18" i="74"/>
  <c r="J43" i="74"/>
  <c r="I23" i="74"/>
  <c r="I21" i="74"/>
  <c r="G19" i="77"/>
  <c r="I31" i="74"/>
  <c r="K18" i="74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J523" i="60"/>
  <c r="J452" i="60"/>
  <c r="A451" i="60"/>
  <c r="J371" i="60"/>
  <c r="C371" i="60"/>
  <c r="J192" i="60"/>
  <c r="C192" i="60"/>
  <c r="A31" i="58"/>
  <c r="I13" i="58"/>
  <c r="C8" i="58"/>
  <c r="A73" i="57"/>
  <c r="L13" i="57"/>
  <c r="K13" i="57"/>
  <c r="I7" i="57"/>
  <c r="D7" i="56"/>
  <c r="C7" i="56"/>
  <c r="D5" i="56"/>
  <c r="A589" i="55"/>
  <c r="F588" i="55"/>
  <c r="F589" i="55" s="1"/>
  <c r="E588" i="55"/>
  <c r="A588" i="55"/>
  <c r="I92" i="55" a="1"/>
  <c r="I92" i="55" s="1"/>
  <c r="K92" i="55" s="1"/>
  <c r="I86" i="55" a="1"/>
  <c r="I86" i="55" s="1"/>
  <c r="K86" i="55" s="1"/>
  <c r="I84" i="55" a="1"/>
  <c r="I84" i="55" s="1"/>
  <c r="K84" i="55" s="1"/>
  <c r="I18" i="55" a="1"/>
  <c r="I18" i="55" s="1"/>
  <c r="G18" i="55" a="1"/>
  <c r="G18" i="55" s="1"/>
  <c r="G343" i="55" s="1"/>
  <c r="F17" i="55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1" i="56" l="1"/>
  <c r="A10" i="56"/>
  <c r="V20" i="34"/>
  <c r="V24" i="34"/>
  <c r="V30" i="34"/>
  <c r="V34" i="34"/>
  <c r="V38" i="34"/>
  <c r="V42" i="34"/>
  <c r="V46" i="34"/>
  <c r="V47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4" i="34"/>
  <c r="V138" i="34"/>
  <c r="V142" i="34"/>
  <c r="V146" i="34"/>
  <c r="V148" i="34"/>
  <c r="V152" i="34"/>
  <c r="V156" i="34"/>
  <c r="V160" i="34"/>
  <c r="V161" i="34"/>
  <c r="V166" i="34"/>
  <c r="V170" i="34"/>
  <c r="V174" i="34"/>
  <c r="V178" i="34"/>
  <c r="V182" i="34"/>
  <c r="V193" i="34"/>
  <c r="V198" i="34"/>
  <c r="V202" i="34"/>
  <c r="V210" i="34"/>
  <c r="V214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18" i="34"/>
  <c r="V322" i="34"/>
  <c r="V328" i="34"/>
  <c r="V332" i="34"/>
  <c r="V341" i="34"/>
  <c r="V345" i="34"/>
  <c r="V23" i="34"/>
  <c r="V29" i="34"/>
  <c r="V33" i="34"/>
  <c r="V37" i="34"/>
  <c r="V41" i="34"/>
  <c r="V45" i="34"/>
  <c r="V50" i="34"/>
  <c r="V51" i="34"/>
  <c r="V52" i="34"/>
  <c r="V53" i="34"/>
  <c r="V54" i="34"/>
  <c r="V55" i="34"/>
  <c r="V59" i="34"/>
  <c r="V63" i="34"/>
  <c r="V67" i="34"/>
  <c r="V71" i="34"/>
  <c r="V75" i="34"/>
  <c r="V79" i="34"/>
  <c r="V83" i="34"/>
  <c r="V87" i="34"/>
  <c r="V91" i="34"/>
  <c r="V95" i="34"/>
  <c r="V99" i="34"/>
  <c r="V103" i="34"/>
  <c r="V107" i="34"/>
  <c r="V111" i="34"/>
  <c r="V115" i="34"/>
  <c r="V119" i="34"/>
  <c r="V123" i="34"/>
  <c r="V127" i="34"/>
  <c r="V133" i="34"/>
  <c r="V137" i="34"/>
  <c r="V141" i="34"/>
  <c r="V145" i="34"/>
  <c r="V151" i="34"/>
  <c r="V155" i="34"/>
  <c r="V159" i="34"/>
  <c r="V164" i="34"/>
  <c r="V165" i="34"/>
  <c r="V169" i="34"/>
  <c r="V173" i="34"/>
  <c r="V177" i="34"/>
  <c r="V181" i="34"/>
  <c r="V185" i="34"/>
  <c r="V186" i="34"/>
  <c r="V187" i="34"/>
  <c r="V188" i="34"/>
  <c r="V189" i="34"/>
  <c r="V190" i="34"/>
  <c r="V191" i="34"/>
  <c r="V192" i="34"/>
  <c r="V197" i="34"/>
  <c r="V201" i="34"/>
  <c r="V209" i="34"/>
  <c r="V213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1" i="34"/>
  <c r="V327" i="34"/>
  <c r="V331" i="34"/>
  <c r="V338" i="34"/>
  <c r="V22" i="34"/>
  <c r="V26" i="34"/>
  <c r="V27" i="34"/>
  <c r="V28" i="34"/>
  <c r="V32" i="34"/>
  <c r="V36" i="34"/>
  <c r="V40" i="34"/>
  <c r="V44" i="34"/>
  <c r="V49" i="34"/>
  <c r="V58" i="34"/>
  <c r="V62" i="34"/>
  <c r="V66" i="34"/>
  <c r="V70" i="34"/>
  <c r="V74" i="34"/>
  <c r="V78" i="34"/>
  <c r="V82" i="34"/>
  <c r="V86" i="34"/>
  <c r="V90" i="34"/>
  <c r="V94" i="34"/>
  <c r="V98" i="34"/>
  <c r="V102" i="34"/>
  <c r="V106" i="34"/>
  <c r="V110" i="34"/>
  <c r="V114" i="34"/>
  <c r="V118" i="34"/>
  <c r="V122" i="34"/>
  <c r="V126" i="34"/>
  <c r="V132" i="34"/>
  <c r="V136" i="34"/>
  <c r="V140" i="34"/>
  <c r="V144" i="34"/>
  <c r="V150" i="34"/>
  <c r="V154" i="34"/>
  <c r="V158" i="34"/>
  <c r="V163" i="34"/>
  <c r="V168" i="34"/>
  <c r="V172" i="34"/>
  <c r="V176" i="34"/>
  <c r="V180" i="34"/>
  <c r="V184" i="34"/>
  <c r="V195" i="34"/>
  <c r="V196" i="34"/>
  <c r="V200" i="34"/>
  <c r="V208" i="34"/>
  <c r="V212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0" i="34"/>
  <c r="V324" i="34"/>
  <c r="V325" i="34"/>
  <c r="V326" i="34"/>
  <c r="V330" i="34"/>
  <c r="V334" i="34"/>
  <c r="V335" i="34"/>
  <c r="V336" i="34"/>
  <c r="V337" i="34"/>
  <c r="V21" i="34"/>
  <c r="V25" i="34"/>
  <c r="V31" i="34"/>
  <c r="V35" i="34"/>
  <c r="V39" i="34"/>
  <c r="V43" i="34"/>
  <c r="V48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13" i="34"/>
  <c r="V117" i="34"/>
  <c r="V121" i="34"/>
  <c r="V125" i="34"/>
  <c r="V129" i="34"/>
  <c r="V130" i="34"/>
  <c r="V131" i="34"/>
  <c r="V135" i="34"/>
  <c r="V139" i="34"/>
  <c r="V143" i="34"/>
  <c r="V147" i="34"/>
  <c r="V149" i="34"/>
  <c r="V153" i="34"/>
  <c r="V157" i="34"/>
  <c r="V162" i="34"/>
  <c r="V167" i="34"/>
  <c r="V171" i="34"/>
  <c r="V175" i="34"/>
  <c r="V179" i="34"/>
  <c r="V183" i="34"/>
  <c r="V194" i="34"/>
  <c r="V199" i="34"/>
  <c r="V203" i="34"/>
  <c r="V204" i="34"/>
  <c r="V205" i="34"/>
  <c r="V206" i="34"/>
  <c r="V207" i="34"/>
  <c r="V211" i="34"/>
  <c r="V215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9" i="34"/>
  <c r="V323" i="34"/>
  <c r="V329" i="34"/>
  <c r="V333" i="34"/>
  <c r="V342" i="34"/>
  <c r="V344" i="34"/>
  <c r="V347" i="34"/>
  <c r="V351" i="34"/>
  <c r="V355" i="34"/>
  <c r="V361" i="34"/>
  <c r="V365" i="34"/>
  <c r="V369" i="34"/>
  <c r="V373" i="34"/>
  <c r="V377" i="34"/>
  <c r="V381" i="34"/>
  <c r="V385" i="34"/>
  <c r="V389" i="34"/>
  <c r="V394" i="34"/>
  <c r="V398" i="34"/>
  <c r="V402" i="34"/>
  <c r="V406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6" i="34"/>
  <c r="V480" i="34"/>
  <c r="V490" i="34"/>
  <c r="V494" i="34"/>
  <c r="V499" i="34"/>
  <c r="V505" i="34"/>
  <c r="V509" i="34"/>
  <c r="V513" i="34"/>
  <c r="V517" i="34"/>
  <c r="V521" i="34"/>
  <c r="V525" i="34"/>
  <c r="V529" i="34"/>
  <c r="V534" i="34"/>
  <c r="V538" i="34"/>
  <c r="V542" i="34"/>
  <c r="V546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60" i="34"/>
  <c r="V666" i="34"/>
  <c r="V670" i="34"/>
  <c r="V674" i="34"/>
  <c r="V343" i="34"/>
  <c r="V346" i="34"/>
  <c r="V350" i="34"/>
  <c r="V354" i="34"/>
  <c r="V360" i="34"/>
  <c r="V364" i="34"/>
  <c r="V368" i="34"/>
  <c r="V372" i="34"/>
  <c r="V376" i="34"/>
  <c r="V380" i="34"/>
  <c r="V384" i="34"/>
  <c r="V388" i="34"/>
  <c r="V392" i="34"/>
  <c r="V393" i="34"/>
  <c r="V397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3" i="34"/>
  <c r="V474" i="34"/>
  <c r="V475" i="34"/>
  <c r="V479" i="34"/>
  <c r="V485" i="34"/>
  <c r="V486" i="34"/>
  <c r="V487" i="34"/>
  <c r="V488" i="34"/>
  <c r="V489" i="34"/>
  <c r="V493" i="34"/>
  <c r="V498" i="34"/>
  <c r="V504" i="34"/>
  <c r="V508" i="34"/>
  <c r="V512" i="34"/>
  <c r="V516" i="34"/>
  <c r="V520" i="34"/>
  <c r="V524" i="34"/>
  <c r="V528" i="34"/>
  <c r="V532" i="34"/>
  <c r="V533" i="34"/>
  <c r="V537" i="34"/>
  <c r="V541" i="34"/>
  <c r="V545" i="34"/>
  <c r="V549" i="34"/>
  <c r="V552" i="34"/>
  <c r="V556" i="34"/>
  <c r="V560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59" i="34"/>
  <c r="V339" i="34"/>
  <c r="V340" i="34"/>
  <c r="V349" i="34"/>
  <c r="V353" i="34"/>
  <c r="V359" i="34"/>
  <c r="V363" i="34"/>
  <c r="V367" i="34"/>
  <c r="V371" i="34"/>
  <c r="V375" i="34"/>
  <c r="V379" i="34"/>
  <c r="V383" i="34"/>
  <c r="V387" i="34"/>
  <c r="V391" i="34"/>
  <c r="V396" i="34"/>
  <c r="V400" i="34"/>
  <c r="V404" i="34"/>
  <c r="V409" i="34"/>
  <c r="V413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2" i="34"/>
  <c r="V478" i="34"/>
  <c r="V484" i="34"/>
  <c r="V492" i="34"/>
  <c r="V496" i="34"/>
  <c r="V497" i="34"/>
  <c r="V503" i="34"/>
  <c r="V507" i="34"/>
  <c r="V511" i="34"/>
  <c r="V515" i="34"/>
  <c r="V519" i="34"/>
  <c r="V523" i="34"/>
  <c r="V527" i="34"/>
  <c r="V531" i="34"/>
  <c r="V536" i="34"/>
  <c r="V540" i="34"/>
  <c r="V544" i="34"/>
  <c r="V548" i="34"/>
  <c r="V551" i="34"/>
  <c r="V555" i="34"/>
  <c r="V559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58" i="34"/>
  <c r="V662" i="34"/>
  <c r="V668" i="34"/>
  <c r="V348" i="34"/>
  <c r="V352" i="34"/>
  <c r="V356" i="34"/>
  <c r="V357" i="34"/>
  <c r="V358" i="34"/>
  <c r="V362" i="34"/>
  <c r="V366" i="34"/>
  <c r="V370" i="34"/>
  <c r="V374" i="34"/>
  <c r="V378" i="34"/>
  <c r="V382" i="34"/>
  <c r="V386" i="34"/>
  <c r="V390" i="34"/>
  <c r="V395" i="34"/>
  <c r="V399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1" i="34"/>
  <c r="V477" i="34"/>
  <c r="V481" i="34"/>
  <c r="V482" i="34"/>
  <c r="V483" i="34"/>
  <c r="V491" i="34"/>
  <c r="V495" i="34"/>
  <c r="V500" i="34"/>
  <c r="V501" i="34"/>
  <c r="V502" i="34"/>
  <c r="V506" i="34"/>
  <c r="V510" i="34"/>
  <c r="V514" i="34"/>
  <c r="V518" i="34"/>
  <c r="V522" i="34"/>
  <c r="V526" i="34"/>
  <c r="V530" i="34"/>
  <c r="V535" i="34"/>
  <c r="V539" i="34"/>
  <c r="V543" i="34"/>
  <c r="V547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61" i="34"/>
  <c r="V667" i="34"/>
  <c r="V671" i="34"/>
  <c r="V675" i="34"/>
  <c r="V680" i="34"/>
  <c r="V669" i="34"/>
  <c r="V677" i="34"/>
  <c r="V681" i="34"/>
  <c r="V685" i="34"/>
  <c r="V689" i="34"/>
  <c r="V694" i="34"/>
  <c r="V698" i="34"/>
  <c r="V702" i="34"/>
  <c r="V706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3" i="34"/>
  <c r="V777" i="34"/>
  <c r="V781" i="34"/>
  <c r="V785" i="34"/>
  <c r="V789" i="34"/>
  <c r="V793" i="34"/>
  <c r="V794" i="34"/>
  <c r="V795" i="34"/>
  <c r="V796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7" i="34"/>
  <c r="V851" i="34"/>
  <c r="V855" i="34"/>
  <c r="V859" i="34"/>
  <c r="V863" i="34"/>
  <c r="V867" i="34"/>
  <c r="V871" i="34"/>
  <c r="V875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4" i="34"/>
  <c r="V948" i="34"/>
  <c r="V952" i="34"/>
  <c r="V956" i="34"/>
  <c r="V960" i="34"/>
  <c r="V964" i="34"/>
  <c r="V968" i="34"/>
  <c r="V972" i="34"/>
  <c r="V976" i="34"/>
  <c r="V980" i="34"/>
  <c r="V989" i="34"/>
  <c r="V993" i="34"/>
  <c r="V997" i="34"/>
  <c r="V1001" i="34"/>
  <c r="V1005" i="34"/>
  <c r="V1009" i="34"/>
  <c r="V1013" i="34"/>
  <c r="V676" i="34"/>
  <c r="V684" i="34"/>
  <c r="V688" i="34"/>
  <c r="V693" i="34"/>
  <c r="V697" i="34"/>
  <c r="V701" i="34"/>
  <c r="V705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2" i="34"/>
  <c r="V776" i="34"/>
  <c r="V780" i="34"/>
  <c r="V784" i="34"/>
  <c r="V788" i="34"/>
  <c r="V792" i="34"/>
  <c r="V800" i="34"/>
  <c r="V804" i="34"/>
  <c r="V808" i="34"/>
  <c r="V812" i="34"/>
  <c r="V816" i="34"/>
  <c r="V820" i="34"/>
  <c r="V824" i="34"/>
  <c r="V828" i="34"/>
  <c r="V832" i="34"/>
  <c r="V836" i="34"/>
  <c r="V840" i="34"/>
  <c r="V846" i="34"/>
  <c r="V850" i="34"/>
  <c r="V854" i="34"/>
  <c r="V858" i="34"/>
  <c r="V862" i="34"/>
  <c r="V866" i="34"/>
  <c r="V870" i="34"/>
  <c r="V874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7" i="34"/>
  <c r="V951" i="34"/>
  <c r="V955" i="34"/>
  <c r="V959" i="34"/>
  <c r="V963" i="34"/>
  <c r="V967" i="34"/>
  <c r="V971" i="34"/>
  <c r="V975" i="34"/>
  <c r="V979" i="34"/>
  <c r="V988" i="34"/>
  <c r="V992" i="34"/>
  <c r="V996" i="34"/>
  <c r="V1000" i="34"/>
  <c r="V1004" i="34"/>
  <c r="V1008" i="34"/>
  <c r="V1012" i="34"/>
  <c r="V673" i="34"/>
  <c r="V683" i="34"/>
  <c r="V687" i="34"/>
  <c r="V692" i="34"/>
  <c r="V696" i="34"/>
  <c r="V700" i="34"/>
  <c r="V704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1" i="34"/>
  <c r="V775" i="34"/>
  <c r="V779" i="34"/>
  <c r="V783" i="34"/>
  <c r="V787" i="34"/>
  <c r="V791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4" i="34"/>
  <c r="V845" i="34"/>
  <c r="V849" i="34"/>
  <c r="V853" i="34"/>
  <c r="V857" i="34"/>
  <c r="V861" i="34"/>
  <c r="V865" i="34"/>
  <c r="V869" i="34"/>
  <c r="V873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6" i="34"/>
  <c r="V950" i="34"/>
  <c r="V954" i="34"/>
  <c r="V958" i="34"/>
  <c r="V962" i="34"/>
  <c r="V966" i="34"/>
  <c r="V970" i="34"/>
  <c r="V974" i="34"/>
  <c r="V978" i="34"/>
  <c r="V987" i="34"/>
  <c r="V991" i="34"/>
  <c r="V995" i="34"/>
  <c r="V999" i="34"/>
  <c r="V1003" i="34"/>
  <c r="V1007" i="34"/>
  <c r="V1011" i="34"/>
  <c r="V663" i="34"/>
  <c r="V664" i="34"/>
  <c r="V665" i="34"/>
  <c r="V672" i="34"/>
  <c r="V678" i="34"/>
  <c r="V679" i="34"/>
  <c r="V682" i="34"/>
  <c r="V686" i="34"/>
  <c r="V690" i="34"/>
  <c r="V691" i="34"/>
  <c r="V695" i="34"/>
  <c r="V699" i="34"/>
  <c r="V703" i="34"/>
  <c r="V707" i="34"/>
  <c r="V708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4" i="34"/>
  <c r="V778" i="34"/>
  <c r="V782" i="34"/>
  <c r="V786" i="34"/>
  <c r="V790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8" i="34"/>
  <c r="V852" i="34"/>
  <c r="V856" i="34"/>
  <c r="V860" i="34"/>
  <c r="V864" i="34"/>
  <c r="V868" i="34"/>
  <c r="V872" i="34"/>
  <c r="V876" i="34"/>
  <c r="V877" i="34"/>
  <c r="V878" i="34"/>
  <c r="V879" i="34"/>
  <c r="V880" i="34"/>
  <c r="V881" i="34"/>
  <c r="V882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5" i="34"/>
  <c r="V949" i="34"/>
  <c r="V953" i="34"/>
  <c r="V957" i="34"/>
  <c r="V961" i="34"/>
  <c r="V965" i="34"/>
  <c r="V969" i="34"/>
  <c r="V973" i="34"/>
  <c r="V977" i="34"/>
  <c r="V981" i="34"/>
  <c r="V982" i="34"/>
  <c r="V983" i="34"/>
  <c r="V984" i="34"/>
  <c r="V985" i="34"/>
  <c r="V986" i="34"/>
  <c r="V990" i="34"/>
  <c r="V994" i="34"/>
  <c r="V998" i="34"/>
  <c r="V1002" i="34"/>
  <c r="V1006" i="34"/>
  <c r="V1010" i="34"/>
  <c r="V1014" i="34"/>
  <c r="V1018" i="34"/>
  <c r="V1022" i="34"/>
  <c r="V1028" i="34"/>
  <c r="V1032" i="34"/>
  <c r="V1037" i="34"/>
  <c r="V1038" i="34"/>
  <c r="V1039" i="34"/>
  <c r="V1040" i="34"/>
  <c r="V1041" i="34"/>
  <c r="V1042" i="34"/>
  <c r="V1043" i="34"/>
  <c r="V1047" i="34"/>
  <c r="V1053" i="34"/>
  <c r="V1057" i="34"/>
  <c r="V1062" i="34"/>
  <c r="V1066" i="34"/>
  <c r="V1071" i="34"/>
  <c r="V1075" i="34"/>
  <c r="V1079" i="34"/>
  <c r="V1083" i="34"/>
  <c r="V1087" i="34"/>
  <c r="V1091" i="34"/>
  <c r="V1095" i="34"/>
  <c r="V1099" i="34"/>
  <c r="V1104" i="34"/>
  <c r="V1108" i="34"/>
  <c r="V1112" i="34"/>
  <c r="V1115" i="34"/>
  <c r="V1116" i="34"/>
  <c r="V1120" i="34"/>
  <c r="V1124" i="34"/>
  <c r="V1128" i="34"/>
  <c r="V1132" i="34"/>
  <c r="V1136" i="34"/>
  <c r="V1140" i="34"/>
  <c r="V1148" i="34"/>
  <c r="V1152" i="34"/>
  <c r="V1156" i="34"/>
  <c r="V1160" i="34"/>
  <c r="V1164" i="34"/>
  <c r="V1165" i="34"/>
  <c r="V1169" i="34"/>
  <c r="V1173" i="34"/>
  <c r="V1177" i="34"/>
  <c r="V1181" i="34"/>
  <c r="V1185" i="34"/>
  <c r="V1190" i="34"/>
  <c r="V1194" i="34"/>
  <c r="V1205" i="34"/>
  <c r="V1209" i="34"/>
  <c r="V1213" i="34"/>
  <c r="V1218" i="34"/>
  <c r="V1222" i="34"/>
  <c r="V1226" i="34"/>
  <c r="V1230" i="34"/>
  <c r="V1234" i="34"/>
  <c r="V1245" i="34"/>
  <c r="V1249" i="34"/>
  <c r="V1259" i="34"/>
  <c r="V1263" i="34"/>
  <c r="V1268" i="34"/>
  <c r="V1272" i="34"/>
  <c r="V1280" i="34"/>
  <c r="V1285" i="34"/>
  <c r="V1289" i="34"/>
  <c r="V1293" i="34"/>
  <c r="V1297" i="34"/>
  <c r="V1298" i="34"/>
  <c r="V1302" i="34"/>
  <c r="V1306" i="34"/>
  <c r="V1310" i="34"/>
  <c r="V1314" i="34"/>
  <c r="V1321" i="34"/>
  <c r="V1325" i="34"/>
  <c r="V1331" i="34"/>
  <c r="V1335" i="34"/>
  <c r="V1339" i="34"/>
  <c r="V1343" i="34"/>
  <c r="V1347" i="34"/>
  <c r="V1017" i="34"/>
  <c r="V1021" i="34"/>
  <c r="V1025" i="34"/>
  <c r="V1026" i="34"/>
  <c r="V1027" i="34"/>
  <c r="V1031" i="34"/>
  <c r="V1036" i="34"/>
  <c r="V1046" i="34"/>
  <c r="V1050" i="34"/>
  <c r="V1051" i="34"/>
  <c r="V1052" i="34"/>
  <c r="V1056" i="34"/>
  <c r="V1060" i="34"/>
  <c r="V1061" i="34"/>
  <c r="V1065" i="34"/>
  <c r="V1070" i="34"/>
  <c r="V1074" i="34"/>
  <c r="V1078" i="34"/>
  <c r="V1082" i="34"/>
  <c r="V1086" i="34"/>
  <c r="V1090" i="34"/>
  <c r="V1094" i="34"/>
  <c r="V1098" i="34"/>
  <c r="V1103" i="34"/>
  <c r="V1107" i="34"/>
  <c r="V1111" i="34"/>
  <c r="V1119" i="34"/>
  <c r="V1123" i="34"/>
  <c r="V1127" i="34"/>
  <c r="V1131" i="34"/>
  <c r="V1135" i="34"/>
  <c r="V1139" i="34"/>
  <c r="V1147" i="34"/>
  <c r="V1151" i="34"/>
  <c r="V1155" i="34"/>
  <c r="V1159" i="34"/>
  <c r="V1163" i="34"/>
  <c r="V1168" i="34"/>
  <c r="V1172" i="34"/>
  <c r="V1176" i="34"/>
  <c r="V1180" i="34"/>
  <c r="V1184" i="34"/>
  <c r="V1189" i="34"/>
  <c r="V1193" i="34"/>
  <c r="V1204" i="34"/>
  <c r="V1208" i="34"/>
  <c r="V1212" i="34"/>
  <c r="V1217" i="34"/>
  <c r="V1221" i="34"/>
  <c r="V1225" i="34"/>
  <c r="V1229" i="34"/>
  <c r="V1233" i="34"/>
  <c r="V1237" i="34"/>
  <c r="V1238" i="34"/>
  <c r="V1239" i="34"/>
  <c r="V1240" i="34"/>
  <c r="V1241" i="34"/>
  <c r="V1242" i="34"/>
  <c r="V1243" i="34"/>
  <c r="V1244" i="34"/>
  <c r="V1248" i="34"/>
  <c r="V1258" i="34"/>
  <c r="V1262" i="34"/>
  <c r="V1267" i="34"/>
  <c r="V1271" i="34"/>
  <c r="V1279" i="34"/>
  <c r="V1284" i="34"/>
  <c r="V1288" i="34"/>
  <c r="V1292" i="34"/>
  <c r="V1296" i="34"/>
  <c r="V1301" i="34"/>
  <c r="V1305" i="34"/>
  <c r="V1309" i="34"/>
  <c r="V1313" i="34"/>
  <c r="V1320" i="34"/>
  <c r="V1324" i="34"/>
  <c r="V1330" i="34"/>
  <c r="V1334" i="34"/>
  <c r="V1338" i="34"/>
  <c r="V1342" i="34"/>
  <c r="V1346" i="34"/>
  <c r="V1016" i="34"/>
  <c r="V1020" i="34"/>
  <c r="V1024" i="34"/>
  <c r="V1030" i="34"/>
  <c r="V1035" i="34"/>
  <c r="V1045" i="34"/>
  <c r="V1049" i="34"/>
  <c r="V1055" i="34"/>
  <c r="V1059" i="34"/>
  <c r="V1064" i="34"/>
  <c r="V1069" i="34"/>
  <c r="V1073" i="34"/>
  <c r="V1077" i="34"/>
  <c r="V1081" i="34"/>
  <c r="V1085" i="34"/>
  <c r="V1089" i="34"/>
  <c r="V1093" i="34"/>
  <c r="V1097" i="34"/>
  <c r="V1101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3" i="34"/>
  <c r="V1144" i="34"/>
  <c r="V1145" i="34"/>
  <c r="V1146" i="34"/>
  <c r="V1150" i="34"/>
  <c r="V1154" i="34"/>
  <c r="V1158" i="34"/>
  <c r="V1162" i="34"/>
  <c r="V1167" i="34"/>
  <c r="V1171" i="34"/>
  <c r="V1175" i="34"/>
  <c r="V1179" i="34"/>
  <c r="V1183" i="34"/>
  <c r="V1188" i="34"/>
  <c r="V1192" i="34"/>
  <c r="V1196" i="34"/>
  <c r="V1197" i="34"/>
  <c r="V1198" i="34"/>
  <c r="V1199" i="34"/>
  <c r="V1200" i="34"/>
  <c r="V1201" i="34"/>
  <c r="V1202" i="34"/>
  <c r="V1203" i="34"/>
  <c r="V1207" i="34"/>
  <c r="V1211" i="34"/>
  <c r="V1216" i="34"/>
  <c r="V1220" i="34"/>
  <c r="V1224" i="34"/>
  <c r="V1228" i="34"/>
  <c r="V1232" i="34"/>
  <c r="V1236" i="34"/>
  <c r="V1247" i="34"/>
  <c r="V1251" i="34"/>
  <c r="V1252" i="34"/>
  <c r="V1253" i="34"/>
  <c r="V1254" i="34"/>
  <c r="V1255" i="34"/>
  <c r="V1256" i="34"/>
  <c r="V1257" i="34"/>
  <c r="V1261" i="34"/>
  <c r="V1266" i="34"/>
  <c r="V1270" i="34"/>
  <c r="V1278" i="34"/>
  <c r="V1283" i="34"/>
  <c r="V1287" i="34"/>
  <c r="V1291" i="34"/>
  <c r="V1295" i="34"/>
  <c r="V1300" i="34"/>
  <c r="V1304" i="34"/>
  <c r="V1308" i="34"/>
  <c r="V1312" i="34"/>
  <c r="V1316" i="34"/>
  <c r="V1317" i="34"/>
  <c r="V1318" i="34"/>
  <c r="V1319" i="34"/>
  <c r="V1015" i="34"/>
  <c r="V1019" i="34"/>
  <c r="V1023" i="34"/>
  <c r="V1029" i="34"/>
  <c r="V1033" i="34"/>
  <c r="V1034" i="34"/>
  <c r="V1044" i="34"/>
  <c r="V1048" i="34"/>
  <c r="V1054" i="34"/>
  <c r="V1058" i="34"/>
  <c r="V1063" i="34"/>
  <c r="V1067" i="34"/>
  <c r="V1068" i="34"/>
  <c r="V1072" i="34"/>
  <c r="V1076" i="34"/>
  <c r="V1080" i="34"/>
  <c r="V1084" i="34"/>
  <c r="V1088" i="34"/>
  <c r="V1092" i="34"/>
  <c r="V1096" i="34"/>
  <c r="V1100" i="34"/>
  <c r="V1105" i="34"/>
  <c r="V1109" i="34"/>
  <c r="V1113" i="34"/>
  <c r="V1117" i="34"/>
  <c r="V1121" i="34"/>
  <c r="V1125" i="34"/>
  <c r="V1129" i="34"/>
  <c r="V1133" i="34"/>
  <c r="V1137" i="34"/>
  <c r="V1141" i="34"/>
  <c r="V1149" i="34"/>
  <c r="V1153" i="34"/>
  <c r="V1157" i="34"/>
  <c r="V1161" i="34"/>
  <c r="V1166" i="34"/>
  <c r="V1170" i="34"/>
  <c r="V1174" i="34"/>
  <c r="V1178" i="34"/>
  <c r="V1182" i="34"/>
  <c r="V1186" i="34"/>
  <c r="V1187" i="34"/>
  <c r="V1191" i="34"/>
  <c r="V1195" i="34"/>
  <c r="V1206" i="34"/>
  <c r="V1210" i="34"/>
  <c r="V1214" i="34"/>
  <c r="V1215" i="34"/>
  <c r="V1219" i="34"/>
  <c r="V1223" i="34"/>
  <c r="V1227" i="34"/>
  <c r="V1231" i="34"/>
  <c r="V1235" i="34"/>
  <c r="V1246" i="34"/>
  <c r="V1250" i="34"/>
  <c r="V1260" i="34"/>
  <c r="V1264" i="34"/>
  <c r="V1265" i="34"/>
  <c r="V1269" i="34"/>
  <c r="V1273" i="34"/>
  <c r="V1274" i="34"/>
  <c r="V1275" i="34"/>
  <c r="V1276" i="34"/>
  <c r="V1277" i="34"/>
  <c r="V1281" i="34"/>
  <c r="V1282" i="34"/>
  <c r="V1286" i="34"/>
  <c r="V1290" i="34"/>
  <c r="V1294" i="34"/>
  <c r="V1299" i="34"/>
  <c r="V1303" i="34"/>
  <c r="V1307" i="34"/>
  <c r="V1311" i="34"/>
  <c r="V1315" i="34"/>
  <c r="V1322" i="34"/>
  <c r="V1326" i="34"/>
  <c r="V1328" i="34"/>
  <c r="V1332" i="34"/>
  <c r="V1336" i="34"/>
  <c r="V1340" i="34"/>
  <c r="V1344" i="34"/>
  <c r="V1341" i="34"/>
  <c r="V1348" i="34"/>
  <c r="V1354" i="34"/>
  <c r="V1359" i="34"/>
  <c r="V1363" i="34"/>
  <c r="V1370" i="34"/>
  <c r="V1374" i="34"/>
  <c r="V1381" i="34"/>
  <c r="V1385" i="34"/>
  <c r="V1386" i="34"/>
  <c r="V1390" i="34"/>
  <c r="V1394" i="34"/>
  <c r="V1398" i="34"/>
  <c r="V1402" i="34"/>
  <c r="V1406" i="34"/>
  <c r="V1411" i="34"/>
  <c r="V1416" i="34"/>
  <c r="V1417" i="34"/>
  <c r="V1418" i="34"/>
  <c r="V1419" i="34"/>
  <c r="V1423" i="34"/>
  <c r="V1427" i="34"/>
  <c r="V1428" i="34"/>
  <c r="V1432" i="34"/>
  <c r="V1436" i="34"/>
  <c r="V1437" i="34"/>
  <c r="V1438" i="34"/>
  <c r="V1442" i="34"/>
  <c r="V1446" i="34"/>
  <c r="V1450" i="34"/>
  <c r="V1454" i="34"/>
  <c r="V1458" i="34"/>
  <c r="V1465" i="34"/>
  <c r="V1469" i="34"/>
  <c r="V1473" i="34"/>
  <c r="V1478" i="34"/>
  <c r="V1482" i="34"/>
  <c r="V1486" i="34"/>
  <c r="V1490" i="34"/>
  <c r="V1491" i="34"/>
  <c r="V1492" i="34"/>
  <c r="V1493" i="34"/>
  <c r="V1494" i="34"/>
  <c r="V1498" i="34"/>
  <c r="V1502" i="34"/>
  <c r="V1506" i="34"/>
  <c r="V1510" i="34"/>
  <c r="V1515" i="34"/>
  <c r="V1516" i="34"/>
  <c r="V1517" i="34"/>
  <c r="V1521" i="34"/>
  <c r="V1522" i="34"/>
  <c r="V1526" i="34"/>
  <c r="V1527" i="34"/>
  <c r="V1528" i="34"/>
  <c r="V1529" i="34"/>
  <c r="V1530" i="34"/>
  <c r="V1531" i="34"/>
  <c r="V1532" i="34"/>
  <c r="V1533" i="34"/>
  <c r="V1534" i="34"/>
  <c r="V1535" i="34"/>
  <c r="V1540" i="34"/>
  <c r="V1541" i="34"/>
  <c r="V1542" i="34"/>
  <c r="V1543" i="34"/>
  <c r="V1544" i="34"/>
  <c r="V1550" i="34"/>
  <c r="V1551" i="34"/>
  <c r="V1552" i="34"/>
  <c r="V1553" i="34"/>
  <c r="V1554" i="34"/>
  <c r="V1566" i="34"/>
  <c r="V1570" i="34"/>
  <c r="V1574" i="34"/>
  <c r="V1579" i="34"/>
  <c r="V1583" i="34"/>
  <c r="V1593" i="34"/>
  <c r="V1597" i="34"/>
  <c r="V1601" i="34"/>
  <c r="V1606" i="34"/>
  <c r="V1610" i="34"/>
  <c r="V1614" i="34"/>
  <c r="V1618" i="34"/>
  <c r="V1622" i="34"/>
  <c r="V1623" i="34"/>
  <c r="V1624" i="34"/>
  <c r="V1625" i="34"/>
  <c r="V1626" i="34"/>
  <c r="V1627" i="34"/>
  <c r="V1632" i="34"/>
  <c r="V1637" i="34"/>
  <c r="V1648" i="34"/>
  <c r="V1650" i="34"/>
  <c r="V1654" i="34"/>
  <c r="V1658" i="34"/>
  <c r="V1662" i="34"/>
  <c r="V1676" i="34"/>
  <c r="V1680" i="34"/>
  <c r="V1684" i="34"/>
  <c r="V1688" i="34"/>
  <c r="V1692" i="34"/>
  <c r="V1696" i="34"/>
  <c r="V1703" i="34"/>
  <c r="V1706" i="34"/>
  <c r="V1712" i="34"/>
  <c r="V1716" i="34"/>
  <c r="V1720" i="34"/>
  <c r="V1724" i="34"/>
  <c r="V1728" i="34"/>
  <c r="V1736" i="34"/>
  <c r="V1740" i="34"/>
  <c r="V1744" i="34"/>
  <c r="V1748" i="34"/>
  <c r="V1752" i="34"/>
  <c r="V1756" i="34"/>
  <c r="V1761" i="34"/>
  <c r="V1762" i="34"/>
  <c r="V1763" i="34"/>
  <c r="V1764" i="34"/>
  <c r="V1765" i="34"/>
  <c r="V1766" i="34"/>
  <c r="V1767" i="34"/>
  <c r="V1768" i="34"/>
  <c r="V1772" i="34"/>
  <c r="V1776" i="34"/>
  <c r="V1781" i="34"/>
  <c r="V1785" i="34"/>
  <c r="V1789" i="34"/>
  <c r="V1793" i="34"/>
  <c r="V1797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323" i="34"/>
  <c r="V1329" i="34"/>
  <c r="V1345" i="34"/>
  <c r="V1353" i="34"/>
  <c r="V1357" i="34"/>
  <c r="V1358" i="34"/>
  <c r="V1362" i="34"/>
  <c r="V1369" i="34"/>
  <c r="V1373" i="34"/>
  <c r="V1377" i="34"/>
  <c r="V1378" i="34"/>
  <c r="V1379" i="34"/>
  <c r="V1380" i="34"/>
  <c r="V1384" i="34"/>
  <c r="V1389" i="34"/>
  <c r="V1393" i="34"/>
  <c r="V1397" i="34"/>
  <c r="V1401" i="34"/>
  <c r="V1405" i="34"/>
  <c r="V1410" i="34"/>
  <c r="V1415" i="34"/>
  <c r="V1422" i="34"/>
  <c r="V1426" i="34"/>
  <c r="V1431" i="34"/>
  <c r="V1435" i="34"/>
  <c r="V1441" i="34"/>
  <c r="V1445" i="34"/>
  <c r="V1449" i="34"/>
  <c r="V1453" i="34"/>
  <c r="V1457" i="34"/>
  <c r="V1464" i="34"/>
  <c r="V1468" i="34"/>
  <c r="V1472" i="34"/>
  <c r="V1477" i="34"/>
  <c r="V1481" i="34"/>
  <c r="V1485" i="34"/>
  <c r="V1489" i="34"/>
  <c r="V1497" i="34"/>
  <c r="V1501" i="34"/>
  <c r="V1505" i="34"/>
  <c r="V1509" i="34"/>
  <c r="V1513" i="34"/>
  <c r="V1514" i="34"/>
  <c r="V1520" i="34"/>
  <c r="V1525" i="34"/>
  <c r="V1539" i="34"/>
  <c r="V1547" i="34"/>
  <c r="V1549" i="34"/>
  <c r="V1565" i="34"/>
  <c r="V1569" i="34"/>
  <c r="V1573" i="34"/>
  <c r="V1578" i="34"/>
  <c r="V1582" i="34"/>
  <c r="V1592" i="34"/>
  <c r="V1596" i="34"/>
  <c r="V1600" i="34"/>
  <c r="V1604" i="34"/>
  <c r="V1605" i="34"/>
  <c r="V1609" i="34"/>
  <c r="V1613" i="34"/>
  <c r="V1617" i="34"/>
  <c r="V1621" i="34"/>
  <c r="V1630" i="34"/>
  <c r="V1631" i="34"/>
  <c r="V1636" i="34"/>
  <c r="V1647" i="34"/>
  <c r="V1653" i="34"/>
  <c r="V1657" i="34"/>
  <c r="V1661" i="34"/>
  <c r="V1675" i="34"/>
  <c r="V1679" i="34"/>
  <c r="V1683" i="34"/>
  <c r="V1687" i="34"/>
  <c r="V1691" i="34"/>
  <c r="V1695" i="34"/>
  <c r="V1702" i="34"/>
  <c r="V1705" i="34"/>
  <c r="V1711" i="34"/>
  <c r="V1715" i="34"/>
  <c r="V1719" i="34"/>
  <c r="V1723" i="34"/>
  <c r="V1727" i="34"/>
  <c r="V1735" i="34"/>
  <c r="V1739" i="34"/>
  <c r="V1743" i="34"/>
  <c r="V1747" i="34"/>
  <c r="V1751" i="34"/>
  <c r="V1755" i="34"/>
  <c r="V1760" i="34"/>
  <c r="V1771" i="34"/>
  <c r="V1775" i="34"/>
  <c r="V1780" i="34"/>
  <c r="V1784" i="34"/>
  <c r="V1788" i="34"/>
  <c r="V1792" i="34"/>
  <c r="V1796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327" i="34"/>
  <c r="V1333" i="34"/>
  <c r="V1350" i="34"/>
  <c r="V1351" i="34"/>
  <c r="V1352" i="34"/>
  <c r="V1356" i="34"/>
  <c r="V1361" i="34"/>
  <c r="V1368" i="34"/>
  <c r="V1372" i="34"/>
  <c r="V1376" i="34"/>
  <c r="V1383" i="34"/>
  <c r="V1388" i="34"/>
  <c r="V1392" i="34"/>
  <c r="V1396" i="34"/>
  <c r="V1400" i="34"/>
  <c r="V1404" i="34"/>
  <c r="V1408" i="34"/>
  <c r="V1409" i="34"/>
  <c r="V1413" i="34"/>
  <c r="V1414" i="34"/>
  <c r="V1421" i="34"/>
  <c r="V1425" i="34"/>
  <c r="V1430" i="34"/>
  <c r="V1434" i="34"/>
  <c r="V1440" i="34"/>
  <c r="V1444" i="34"/>
  <c r="V1448" i="34"/>
  <c r="V1452" i="34"/>
  <c r="V1456" i="34"/>
  <c r="V1459" i="34"/>
  <c r="V1460" i="34"/>
  <c r="V1461" i="34"/>
  <c r="V1462" i="34"/>
  <c r="V1463" i="34"/>
  <c r="V1467" i="34"/>
  <c r="V1471" i="34"/>
  <c r="V1475" i="34"/>
  <c r="V1476" i="34"/>
  <c r="V1480" i="34"/>
  <c r="V1484" i="34"/>
  <c r="V1488" i="34"/>
  <c r="V1496" i="34"/>
  <c r="V1500" i="34"/>
  <c r="V1504" i="34"/>
  <c r="V1508" i="34"/>
  <c r="V1512" i="34"/>
  <c r="V1519" i="34"/>
  <c r="V1524" i="34"/>
  <c r="V1537" i="34"/>
  <c r="V1538" i="34"/>
  <c r="V1546" i="34"/>
  <c r="V1548" i="34"/>
  <c r="V1556" i="34"/>
  <c r="V1557" i="34"/>
  <c r="V1558" i="34"/>
  <c r="V1559" i="34"/>
  <c r="V1560" i="34"/>
  <c r="V1561" i="34"/>
  <c r="V1562" i="34"/>
  <c r="V1563" i="34"/>
  <c r="V1564" i="34"/>
  <c r="V1568" i="34"/>
  <c r="V1572" i="34"/>
  <c r="V1576" i="34"/>
  <c r="V1577" i="34"/>
  <c r="V1581" i="34"/>
  <c r="V1585" i="34"/>
  <c r="V1586" i="34"/>
  <c r="V1587" i="34"/>
  <c r="V1588" i="34"/>
  <c r="V1589" i="34"/>
  <c r="V1590" i="34"/>
  <c r="V1591" i="34"/>
  <c r="V1595" i="34"/>
  <c r="V1599" i="34"/>
  <c r="V1603" i="34"/>
  <c r="V1608" i="34"/>
  <c r="V1612" i="34"/>
  <c r="V1616" i="34"/>
  <c r="V1620" i="34"/>
  <c r="V1629" i="34"/>
  <c r="V1635" i="34"/>
  <c r="V1639" i="34"/>
  <c r="V1640" i="34"/>
  <c r="V1641" i="34"/>
  <c r="V1642" i="34"/>
  <c r="V1643" i="34"/>
  <c r="V1644" i="34"/>
  <c r="V1645" i="34"/>
  <c r="V1646" i="34"/>
  <c r="V1652" i="34"/>
  <c r="V1656" i="34"/>
  <c r="V1660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8" i="34"/>
  <c r="V1682" i="34"/>
  <c r="V1686" i="34"/>
  <c r="V1690" i="34"/>
  <c r="V1694" i="34"/>
  <c r="V1701" i="34"/>
  <c r="V1704" i="34"/>
  <c r="V1708" i="34"/>
  <c r="V1709" i="34"/>
  <c r="V1710" i="34"/>
  <c r="V1714" i="34"/>
  <c r="V1718" i="34"/>
  <c r="V1722" i="34"/>
  <c r="V1726" i="34"/>
  <c r="V1730" i="34"/>
  <c r="V1731" i="34"/>
  <c r="V1732" i="34"/>
  <c r="V1733" i="34"/>
  <c r="V1734" i="34"/>
  <c r="V1738" i="34"/>
  <c r="V1742" i="34"/>
  <c r="V1746" i="34"/>
  <c r="V1750" i="34"/>
  <c r="V1754" i="34"/>
  <c r="V1758" i="34"/>
  <c r="V1759" i="34"/>
  <c r="V1770" i="34"/>
  <c r="V1774" i="34"/>
  <c r="V1779" i="34"/>
  <c r="V1783" i="34"/>
  <c r="V1787" i="34"/>
  <c r="V1791" i="34"/>
  <c r="V1795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337" i="34"/>
  <c r="V1349" i="34"/>
  <c r="V1355" i="34"/>
  <c r="V1360" i="34"/>
  <c r="V1364" i="34"/>
  <c r="V1365" i="34"/>
  <c r="V1366" i="34"/>
  <c r="V1367" i="34"/>
  <c r="V1371" i="34"/>
  <c r="V1375" i="34"/>
  <c r="V1382" i="34"/>
  <c r="V1387" i="34"/>
  <c r="V1391" i="34"/>
  <c r="V1395" i="34"/>
  <c r="V1399" i="34"/>
  <c r="V1403" i="34"/>
  <c r="V1407" i="34"/>
  <c r="V1412" i="34"/>
  <c r="V1420" i="34"/>
  <c r="V1424" i="34"/>
  <c r="V1429" i="34"/>
  <c r="V1433" i="34"/>
  <c r="V1439" i="34"/>
  <c r="V1443" i="34"/>
  <c r="V1447" i="34"/>
  <c r="V1451" i="34"/>
  <c r="V1455" i="34"/>
  <c r="V1466" i="34"/>
  <c r="V1470" i="34"/>
  <c r="V1474" i="34"/>
  <c r="V1479" i="34"/>
  <c r="V1483" i="34"/>
  <c r="V1487" i="34"/>
  <c r="V1495" i="34"/>
  <c r="V1499" i="34"/>
  <c r="V1503" i="34"/>
  <c r="V1507" i="34"/>
  <c r="V1511" i="34"/>
  <c r="V1518" i="34"/>
  <c r="V1523" i="34"/>
  <c r="V1536" i="34"/>
  <c r="V1545" i="34"/>
  <c r="V1555" i="34"/>
  <c r="V1567" i="34"/>
  <c r="V1571" i="34"/>
  <c r="V1575" i="34"/>
  <c r="V1580" i="34"/>
  <c r="V1584" i="34"/>
  <c r="V1594" i="34"/>
  <c r="V1598" i="34"/>
  <c r="V1602" i="34"/>
  <c r="V1607" i="34"/>
  <c r="V1611" i="34"/>
  <c r="V1615" i="34"/>
  <c r="V1619" i="34"/>
  <c r="V1628" i="34"/>
  <c r="V1633" i="34"/>
  <c r="V1634" i="34"/>
  <c r="V1638" i="34"/>
  <c r="V1649" i="34"/>
  <c r="V1651" i="34"/>
  <c r="V1655" i="34"/>
  <c r="V1659" i="34"/>
  <c r="V1663" i="34"/>
  <c r="V1677" i="34"/>
  <c r="V1681" i="34"/>
  <c r="V1685" i="34"/>
  <c r="V1689" i="34"/>
  <c r="V1693" i="34"/>
  <c r="V1697" i="34"/>
  <c r="V1698" i="34"/>
  <c r="V1699" i="34"/>
  <c r="V1700" i="34"/>
  <c r="V1707" i="34"/>
  <c r="V1713" i="34"/>
  <c r="V1717" i="34"/>
  <c r="V1721" i="34"/>
  <c r="V1725" i="34"/>
  <c r="V1729" i="34"/>
  <c r="V1737" i="34"/>
  <c r="V1741" i="34"/>
  <c r="V1745" i="34"/>
  <c r="V1749" i="34"/>
  <c r="V1753" i="34"/>
  <c r="V1757" i="34"/>
  <c r="V1769" i="34"/>
  <c r="V1773" i="34"/>
  <c r="V1777" i="34"/>
  <c r="V1778" i="34"/>
  <c r="V1782" i="34"/>
  <c r="V1786" i="34"/>
  <c r="V1790" i="34"/>
  <c r="V1794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6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1928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27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596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5" i="34"/>
  <c r="V2600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21" i="34"/>
  <c r="V2724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19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297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1" i="34"/>
  <c r="W23" i="34"/>
  <c r="W27" i="34"/>
  <c r="W31" i="34"/>
  <c r="W35" i="34"/>
  <c r="W39" i="34"/>
  <c r="W43" i="34"/>
  <c r="W47" i="34"/>
  <c r="W51" i="34"/>
  <c r="W55" i="34"/>
  <c r="W59" i="34"/>
  <c r="W63" i="34"/>
  <c r="W67" i="34"/>
  <c r="W71" i="34"/>
  <c r="W75" i="34"/>
  <c r="W79" i="34"/>
  <c r="W83" i="34"/>
  <c r="W87" i="34"/>
  <c r="W91" i="34"/>
  <c r="W95" i="34"/>
  <c r="W99" i="34"/>
  <c r="W103" i="34"/>
  <c r="W107" i="34"/>
  <c r="W111" i="34"/>
  <c r="W115" i="34"/>
  <c r="W119" i="34"/>
  <c r="W123" i="34"/>
  <c r="W127" i="34"/>
  <c r="W131" i="34"/>
  <c r="W135" i="34"/>
  <c r="W139" i="34"/>
  <c r="W143" i="34"/>
  <c r="W147" i="34"/>
  <c r="W151" i="34"/>
  <c r="W155" i="34"/>
  <c r="W159" i="34"/>
  <c r="W163" i="34"/>
  <c r="W167" i="34"/>
  <c r="W171" i="34"/>
  <c r="W175" i="34"/>
  <c r="W179" i="34"/>
  <c r="W183" i="34"/>
  <c r="W187" i="34"/>
  <c r="W191" i="34"/>
  <c r="W195" i="34"/>
  <c r="W199" i="34"/>
  <c r="W203" i="34"/>
  <c r="W207" i="34"/>
  <c r="W211" i="34"/>
  <c r="W215" i="34"/>
  <c r="W219" i="34"/>
  <c r="W223" i="34"/>
  <c r="W227" i="34"/>
  <c r="W231" i="34"/>
  <c r="W235" i="34"/>
  <c r="W239" i="34"/>
  <c r="W243" i="34"/>
  <c r="W247" i="34"/>
  <c r="W251" i="34"/>
  <c r="W255" i="34"/>
  <c r="W259" i="34"/>
  <c r="W263" i="34"/>
  <c r="W267" i="34"/>
  <c r="W271" i="34"/>
  <c r="W275" i="34"/>
  <c r="W279" i="34"/>
  <c r="W283" i="34"/>
  <c r="W287" i="34"/>
  <c r="W291" i="34"/>
  <c r="W295" i="34"/>
  <c r="W299" i="34"/>
  <c r="W303" i="34"/>
  <c r="W307" i="34"/>
  <c r="W311" i="34"/>
  <c r="W315" i="34"/>
  <c r="W319" i="34"/>
  <c r="W323" i="34"/>
  <c r="W327" i="34"/>
  <c r="W331" i="34"/>
  <c r="W335" i="34"/>
  <c r="W339" i="34"/>
  <c r="W343" i="34"/>
  <c r="W347" i="34"/>
  <c r="W351" i="34"/>
  <c r="W355" i="34"/>
  <c r="W359" i="34"/>
  <c r="W20" i="34"/>
  <c r="W24" i="34"/>
  <c r="W28" i="34"/>
  <c r="W32" i="34"/>
  <c r="W36" i="34"/>
  <c r="W40" i="34"/>
  <c r="W44" i="34"/>
  <c r="W48" i="34"/>
  <c r="W52" i="34"/>
  <c r="W56" i="34"/>
  <c r="W60" i="34"/>
  <c r="W64" i="34"/>
  <c r="W68" i="34"/>
  <c r="W72" i="34"/>
  <c r="W76" i="34"/>
  <c r="W80" i="34"/>
  <c r="W84" i="34"/>
  <c r="W88" i="34"/>
  <c r="W92" i="34"/>
  <c r="W96" i="34"/>
  <c r="W100" i="34"/>
  <c r="W104" i="34"/>
  <c r="W108" i="34"/>
  <c r="W112" i="34"/>
  <c r="W116" i="34"/>
  <c r="W120" i="34"/>
  <c r="W124" i="34"/>
  <c r="W128" i="34"/>
  <c r="W132" i="34"/>
  <c r="W136" i="34"/>
  <c r="W140" i="34"/>
  <c r="W144" i="34"/>
  <c r="W148" i="34"/>
  <c r="W152" i="34"/>
  <c r="W156" i="34"/>
  <c r="W160" i="34"/>
  <c r="W164" i="34"/>
  <c r="W168" i="34"/>
  <c r="W172" i="34"/>
  <c r="W176" i="34"/>
  <c r="W180" i="34"/>
  <c r="W184" i="34"/>
  <c r="W188" i="34"/>
  <c r="W192" i="34"/>
  <c r="W196" i="34"/>
  <c r="W200" i="34"/>
  <c r="W204" i="34"/>
  <c r="W208" i="34"/>
  <c r="W212" i="34"/>
  <c r="W216" i="34"/>
  <c r="W220" i="34"/>
  <c r="W224" i="34"/>
  <c r="W228" i="34"/>
  <c r="W232" i="34"/>
  <c r="W236" i="34"/>
  <c r="W240" i="34"/>
  <c r="W244" i="34"/>
  <c r="W248" i="34"/>
  <c r="W252" i="34"/>
  <c r="W256" i="34"/>
  <c r="W260" i="34"/>
  <c r="W264" i="34"/>
  <c r="W268" i="34"/>
  <c r="W272" i="34"/>
  <c r="W276" i="34"/>
  <c r="W280" i="34"/>
  <c r="W284" i="34"/>
  <c r="W288" i="34"/>
  <c r="W292" i="34"/>
  <c r="W296" i="34"/>
  <c r="W300" i="34"/>
  <c r="W304" i="34"/>
  <c r="W308" i="34"/>
  <c r="W312" i="34"/>
  <c r="W316" i="34"/>
  <c r="W320" i="34"/>
  <c r="W324" i="34"/>
  <c r="W328" i="34"/>
  <c r="W332" i="34"/>
  <c r="W336" i="34"/>
  <c r="W340" i="34"/>
  <c r="W344" i="34"/>
  <c r="W348" i="34"/>
  <c r="W21" i="34"/>
  <c r="W25" i="34"/>
  <c r="W29" i="34"/>
  <c r="W33" i="34"/>
  <c r="W37" i="34"/>
  <c r="W41" i="34"/>
  <c r="W45" i="34"/>
  <c r="W49" i="34"/>
  <c r="W53" i="34"/>
  <c r="W57" i="34"/>
  <c r="W61" i="34"/>
  <c r="W65" i="34"/>
  <c r="W69" i="34"/>
  <c r="W73" i="34"/>
  <c r="W77" i="34"/>
  <c r="W81" i="34"/>
  <c r="W85" i="34"/>
  <c r="W89" i="34"/>
  <c r="W93" i="34"/>
  <c r="W97" i="34"/>
  <c r="W101" i="34"/>
  <c r="W105" i="34"/>
  <c r="W109" i="34"/>
  <c r="W113" i="34"/>
  <c r="W117" i="34"/>
  <c r="W121" i="34"/>
  <c r="W125" i="34"/>
  <c r="W129" i="34"/>
  <c r="W133" i="34"/>
  <c r="W137" i="34"/>
  <c r="W141" i="34"/>
  <c r="W145" i="34"/>
  <c r="W149" i="34"/>
  <c r="W153" i="34"/>
  <c r="W157" i="34"/>
  <c r="W161" i="34"/>
  <c r="W165" i="34"/>
  <c r="W169" i="34"/>
  <c r="W173" i="34"/>
  <c r="W177" i="34"/>
  <c r="W181" i="34"/>
  <c r="W185" i="34"/>
  <c r="W189" i="34"/>
  <c r="W193" i="34"/>
  <c r="W197" i="34"/>
  <c r="W201" i="34"/>
  <c r="W205" i="34"/>
  <c r="W209" i="34"/>
  <c r="W213" i="34"/>
  <c r="W217" i="34"/>
  <c r="W221" i="34"/>
  <c r="W225" i="34"/>
  <c r="W229" i="34"/>
  <c r="W233" i="34"/>
  <c r="W237" i="34"/>
  <c r="W241" i="34"/>
  <c r="W245" i="34"/>
  <c r="W249" i="34"/>
  <c r="W253" i="34"/>
  <c r="W257" i="34"/>
  <c r="W261" i="34"/>
  <c r="W265" i="34"/>
  <c r="W269" i="34"/>
  <c r="W273" i="34"/>
  <c r="W277" i="34"/>
  <c r="W281" i="34"/>
  <c r="W285" i="34"/>
  <c r="W289" i="34"/>
  <c r="W293" i="34"/>
  <c r="W297" i="34"/>
  <c r="W301" i="34"/>
  <c r="W305" i="34"/>
  <c r="W309" i="34"/>
  <c r="W313" i="34"/>
  <c r="W317" i="34"/>
  <c r="W321" i="34"/>
  <c r="W325" i="34"/>
  <c r="W329" i="34"/>
  <c r="W333" i="34"/>
  <c r="W337" i="34"/>
  <c r="W341" i="34"/>
  <c r="W345" i="34"/>
  <c r="W349" i="34"/>
  <c r="W22" i="34"/>
  <c r="W26" i="34"/>
  <c r="W30" i="34"/>
  <c r="W34" i="34"/>
  <c r="W38" i="34"/>
  <c r="W42" i="34"/>
  <c r="W46" i="34"/>
  <c r="W50" i="34"/>
  <c r="W54" i="34"/>
  <c r="W58" i="34"/>
  <c r="W62" i="34"/>
  <c r="W66" i="34"/>
  <c r="W70" i="34"/>
  <c r="W74" i="34"/>
  <c r="W78" i="34"/>
  <c r="W82" i="34"/>
  <c r="W86" i="34"/>
  <c r="W90" i="34"/>
  <c r="W94" i="34"/>
  <c r="W98" i="34"/>
  <c r="W102" i="34"/>
  <c r="W106" i="34"/>
  <c r="W110" i="34"/>
  <c r="W114" i="34"/>
  <c r="W118" i="34"/>
  <c r="W122" i="34"/>
  <c r="W126" i="34"/>
  <c r="W130" i="34"/>
  <c r="W134" i="34"/>
  <c r="W138" i="34"/>
  <c r="W142" i="34"/>
  <c r="W146" i="34"/>
  <c r="W150" i="34"/>
  <c r="W154" i="34"/>
  <c r="W158" i="34"/>
  <c r="W162" i="34"/>
  <c r="W166" i="34"/>
  <c r="W170" i="34"/>
  <c r="W174" i="34"/>
  <c r="W178" i="34"/>
  <c r="W182" i="34"/>
  <c r="W186" i="34"/>
  <c r="W190" i="34"/>
  <c r="W194" i="34"/>
  <c r="W198" i="34"/>
  <c r="W202" i="34"/>
  <c r="W206" i="34"/>
  <c r="W210" i="34"/>
  <c r="W214" i="34"/>
  <c r="W218" i="34"/>
  <c r="W222" i="34"/>
  <c r="W226" i="34"/>
  <c r="W230" i="34"/>
  <c r="W234" i="34"/>
  <c r="W238" i="34"/>
  <c r="W242" i="34"/>
  <c r="W246" i="34"/>
  <c r="W250" i="34"/>
  <c r="W254" i="34"/>
  <c r="W258" i="34"/>
  <c r="W262" i="34"/>
  <c r="W266" i="34"/>
  <c r="W270" i="34"/>
  <c r="W274" i="34"/>
  <c r="W278" i="34"/>
  <c r="W282" i="34"/>
  <c r="W286" i="34"/>
  <c r="W290" i="34"/>
  <c r="W294" i="34"/>
  <c r="W298" i="34"/>
  <c r="W302" i="34"/>
  <c r="W306" i="34"/>
  <c r="W310" i="34"/>
  <c r="W314" i="34"/>
  <c r="W318" i="34"/>
  <c r="W322" i="34"/>
  <c r="W326" i="34"/>
  <c r="W330" i="34"/>
  <c r="W334" i="34"/>
  <c r="W338" i="34"/>
  <c r="W342" i="34"/>
  <c r="W346" i="34"/>
  <c r="W350" i="34"/>
  <c r="W354" i="34"/>
  <c r="W358" i="34"/>
  <c r="W357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487" i="34"/>
  <c r="W491" i="34"/>
  <c r="W495" i="34"/>
  <c r="W499" i="34"/>
  <c r="W503" i="34"/>
  <c r="W507" i="34"/>
  <c r="W511" i="34"/>
  <c r="W515" i="34"/>
  <c r="W519" i="34"/>
  <c r="W523" i="34"/>
  <c r="W527" i="34"/>
  <c r="W534" i="34"/>
  <c r="W538" i="34"/>
  <c r="W542" i="34"/>
  <c r="W546" i="34"/>
  <c r="W553" i="34"/>
  <c r="W557" i="34"/>
  <c r="W561" i="34"/>
  <c r="W565" i="34"/>
  <c r="W569" i="34"/>
  <c r="W573" i="34"/>
  <c r="W577" i="34"/>
  <c r="W581" i="34"/>
  <c r="W585" i="34"/>
  <c r="W589" i="34"/>
  <c r="W593" i="34"/>
  <c r="W597" i="34"/>
  <c r="W601" i="34"/>
  <c r="W605" i="34"/>
  <c r="W609" i="34"/>
  <c r="W613" i="34"/>
  <c r="W617" i="34"/>
  <c r="W621" i="34"/>
  <c r="W625" i="34"/>
  <c r="W629" i="34"/>
  <c r="W633" i="34"/>
  <c r="W637" i="34"/>
  <c r="W641" i="34"/>
  <c r="W645" i="34"/>
  <c r="W649" i="34"/>
  <c r="W653" i="34"/>
  <c r="W657" i="34"/>
  <c r="W661" i="34"/>
  <c r="W665" i="34"/>
  <c r="W669" i="34"/>
  <c r="W673" i="34"/>
  <c r="W677" i="34"/>
  <c r="W681" i="34"/>
  <c r="W685" i="34"/>
  <c r="W689" i="34"/>
  <c r="W693" i="34"/>
  <c r="W352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484" i="34"/>
  <c r="W488" i="34"/>
  <c r="W492" i="34"/>
  <c r="W496" i="34"/>
  <c r="W500" i="34"/>
  <c r="W504" i="34"/>
  <c r="W508" i="34"/>
  <c r="W512" i="34"/>
  <c r="W516" i="34"/>
  <c r="W520" i="34"/>
  <c r="W524" i="34"/>
  <c r="W528" i="34"/>
  <c r="W531" i="34"/>
  <c r="W535" i="34"/>
  <c r="W539" i="34"/>
  <c r="W543" i="34"/>
  <c r="W547" i="34"/>
  <c r="W550" i="34"/>
  <c r="W554" i="34"/>
  <c r="W558" i="34"/>
  <c r="W562" i="34"/>
  <c r="W566" i="34"/>
  <c r="W570" i="34"/>
  <c r="W574" i="34"/>
  <c r="W578" i="34"/>
  <c r="W582" i="34"/>
  <c r="W586" i="34"/>
  <c r="W590" i="34"/>
  <c r="W594" i="34"/>
  <c r="W598" i="34"/>
  <c r="W602" i="34"/>
  <c r="W606" i="34"/>
  <c r="W610" i="34"/>
  <c r="W614" i="34"/>
  <c r="W618" i="34"/>
  <c r="W622" i="34"/>
  <c r="W626" i="34"/>
  <c r="W630" i="34"/>
  <c r="W634" i="34"/>
  <c r="W638" i="34"/>
  <c r="W642" i="34"/>
  <c r="W646" i="34"/>
  <c r="W650" i="34"/>
  <c r="W654" i="34"/>
  <c r="W658" i="34"/>
  <c r="W662" i="34"/>
  <c r="W666" i="34"/>
  <c r="W670" i="34"/>
  <c r="W674" i="34"/>
  <c r="W678" i="34"/>
  <c r="W682" i="34"/>
  <c r="W686" i="34"/>
  <c r="W690" i="34"/>
  <c r="W353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485" i="34"/>
  <c r="W489" i="34"/>
  <c r="W493" i="34"/>
  <c r="W497" i="34"/>
  <c r="W501" i="34"/>
  <c r="W505" i="34"/>
  <c r="W509" i="34"/>
  <c r="W513" i="34"/>
  <c r="W517" i="34"/>
  <c r="W521" i="34"/>
  <c r="W525" i="34"/>
  <c r="W529" i="34"/>
  <c r="W532" i="34"/>
  <c r="W536" i="34"/>
  <c r="W540" i="34"/>
  <c r="W544" i="34"/>
  <c r="W548" i="34"/>
  <c r="W551" i="34"/>
  <c r="W555" i="34"/>
  <c r="W559" i="34"/>
  <c r="W563" i="34"/>
  <c r="W567" i="34"/>
  <c r="W571" i="34"/>
  <c r="W575" i="34"/>
  <c r="W579" i="34"/>
  <c r="W583" i="34"/>
  <c r="W587" i="34"/>
  <c r="W591" i="34"/>
  <c r="W595" i="34"/>
  <c r="W599" i="34"/>
  <c r="W603" i="34"/>
  <c r="W607" i="34"/>
  <c r="W611" i="34"/>
  <c r="W615" i="34"/>
  <c r="W619" i="34"/>
  <c r="W623" i="34"/>
  <c r="W627" i="34"/>
  <c r="W631" i="34"/>
  <c r="W635" i="34"/>
  <c r="W639" i="34"/>
  <c r="W643" i="34"/>
  <c r="W647" i="34"/>
  <c r="W651" i="34"/>
  <c r="W655" i="34"/>
  <c r="W659" i="34"/>
  <c r="W663" i="34"/>
  <c r="W667" i="34"/>
  <c r="W671" i="34"/>
  <c r="W675" i="34"/>
  <c r="W679" i="34"/>
  <c r="W683" i="34"/>
  <c r="W687" i="34"/>
  <c r="W356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486" i="34"/>
  <c r="W490" i="34"/>
  <c r="W494" i="34"/>
  <c r="W498" i="34"/>
  <c r="W502" i="34"/>
  <c r="W506" i="34"/>
  <c r="W510" i="34"/>
  <c r="W514" i="34"/>
  <c r="W518" i="34"/>
  <c r="W522" i="34"/>
  <c r="W526" i="34"/>
  <c r="W530" i="34"/>
  <c r="W533" i="34"/>
  <c r="W537" i="34"/>
  <c r="W541" i="34"/>
  <c r="W545" i="34"/>
  <c r="W549" i="34"/>
  <c r="W552" i="34"/>
  <c r="W556" i="34"/>
  <c r="W560" i="34"/>
  <c r="W564" i="34"/>
  <c r="W568" i="34"/>
  <c r="W572" i="34"/>
  <c r="W576" i="34"/>
  <c r="W580" i="34"/>
  <c r="W584" i="34"/>
  <c r="W588" i="34"/>
  <c r="W592" i="34"/>
  <c r="W596" i="34"/>
  <c r="W600" i="34"/>
  <c r="W604" i="34"/>
  <c r="W608" i="34"/>
  <c r="W612" i="34"/>
  <c r="W616" i="34"/>
  <c r="W620" i="34"/>
  <c r="W624" i="34"/>
  <c r="W628" i="34"/>
  <c r="W632" i="34"/>
  <c r="W636" i="34"/>
  <c r="W640" i="34"/>
  <c r="W644" i="34"/>
  <c r="W648" i="34"/>
  <c r="W652" i="34"/>
  <c r="W656" i="34"/>
  <c r="W660" i="34"/>
  <c r="W664" i="34"/>
  <c r="W668" i="34"/>
  <c r="W672" i="34"/>
  <c r="W676" i="34"/>
  <c r="W680" i="34"/>
  <c r="W684" i="34"/>
  <c r="W688" i="34"/>
  <c r="W692" i="34"/>
  <c r="W696" i="34"/>
  <c r="W700" i="34"/>
  <c r="W704" i="34"/>
  <c r="W697" i="34"/>
  <c r="W702" i="34"/>
  <c r="W707" i="34"/>
  <c r="W711" i="34"/>
  <c r="W715" i="34"/>
  <c r="W719" i="34"/>
  <c r="W723" i="34"/>
  <c r="W727" i="34"/>
  <c r="W731" i="34"/>
  <c r="W735" i="34"/>
  <c r="W739" i="34"/>
  <c r="W743" i="34"/>
  <c r="W747" i="34"/>
  <c r="W751" i="34"/>
  <c r="W755" i="34"/>
  <c r="W759" i="34"/>
  <c r="W763" i="34"/>
  <c r="W767" i="34"/>
  <c r="W771" i="34"/>
  <c r="W775" i="34"/>
  <c r="W779" i="34"/>
  <c r="W783" i="34"/>
  <c r="W787" i="34"/>
  <c r="W791" i="34"/>
  <c r="W795" i="34"/>
  <c r="W799" i="34"/>
  <c r="W803" i="34"/>
  <c r="W807" i="34"/>
  <c r="W811" i="34"/>
  <c r="W815" i="34"/>
  <c r="W819" i="34"/>
  <c r="W823" i="34"/>
  <c r="W827" i="34"/>
  <c r="W831" i="34"/>
  <c r="W835" i="34"/>
  <c r="W839" i="34"/>
  <c r="W843" i="34"/>
  <c r="W847" i="34"/>
  <c r="W851" i="34"/>
  <c r="W855" i="34"/>
  <c r="W859" i="34"/>
  <c r="W863" i="34"/>
  <c r="W867" i="34"/>
  <c r="W871" i="34"/>
  <c r="W875" i="34"/>
  <c r="W879" i="34"/>
  <c r="W883" i="34"/>
  <c r="W887" i="34"/>
  <c r="W891" i="34"/>
  <c r="W895" i="34"/>
  <c r="W899" i="34"/>
  <c r="W903" i="34"/>
  <c r="W907" i="34"/>
  <c r="W911" i="34"/>
  <c r="W915" i="34"/>
  <c r="W919" i="34"/>
  <c r="W923" i="34"/>
  <c r="W927" i="34"/>
  <c r="W931" i="34"/>
  <c r="W935" i="34"/>
  <c r="W939" i="34"/>
  <c r="W943" i="34"/>
  <c r="W947" i="34"/>
  <c r="W951" i="34"/>
  <c r="W955" i="34"/>
  <c r="W959" i="34"/>
  <c r="W963" i="34"/>
  <c r="W967" i="34"/>
  <c r="W971" i="34"/>
  <c r="W975" i="34"/>
  <c r="W979" i="34"/>
  <c r="W983" i="34"/>
  <c r="W987" i="34"/>
  <c r="W991" i="34"/>
  <c r="W995" i="34"/>
  <c r="W999" i="34"/>
  <c r="W1003" i="34"/>
  <c r="W1007" i="34"/>
  <c r="W1011" i="34"/>
  <c r="W1015" i="34"/>
  <c r="W1019" i="34"/>
  <c r="W1023" i="34"/>
  <c r="W1027" i="34"/>
  <c r="W1031" i="34"/>
  <c r="W1035" i="34"/>
  <c r="W1039" i="34"/>
  <c r="W691" i="34"/>
  <c r="W698" i="34"/>
  <c r="W703" i="34"/>
  <c r="W708" i="34"/>
  <c r="W712" i="34"/>
  <c r="W716" i="34"/>
  <c r="W720" i="34"/>
  <c r="W724" i="34"/>
  <c r="W728" i="34"/>
  <c r="W732" i="34"/>
  <c r="W736" i="34"/>
  <c r="W740" i="34"/>
  <c r="W744" i="34"/>
  <c r="W748" i="34"/>
  <c r="W752" i="34"/>
  <c r="W756" i="34"/>
  <c r="W760" i="34"/>
  <c r="W764" i="34"/>
  <c r="W768" i="34"/>
  <c r="W772" i="34"/>
  <c r="W776" i="34"/>
  <c r="W780" i="34"/>
  <c r="W784" i="34"/>
  <c r="W788" i="34"/>
  <c r="W792" i="34"/>
  <c r="W796" i="34"/>
  <c r="W800" i="34"/>
  <c r="W804" i="34"/>
  <c r="W808" i="34"/>
  <c r="W812" i="34"/>
  <c r="W816" i="34"/>
  <c r="W820" i="34"/>
  <c r="W824" i="34"/>
  <c r="W828" i="34"/>
  <c r="W832" i="34"/>
  <c r="W836" i="34"/>
  <c r="W840" i="34"/>
  <c r="W844" i="34"/>
  <c r="W848" i="34"/>
  <c r="W852" i="34"/>
  <c r="W856" i="34"/>
  <c r="W860" i="34"/>
  <c r="W864" i="34"/>
  <c r="W868" i="34"/>
  <c r="W872" i="34"/>
  <c r="W876" i="34"/>
  <c r="W880" i="34"/>
  <c r="W884" i="34"/>
  <c r="W888" i="34"/>
  <c r="W892" i="34"/>
  <c r="W896" i="34"/>
  <c r="W900" i="34"/>
  <c r="W904" i="34"/>
  <c r="W908" i="34"/>
  <c r="W912" i="34"/>
  <c r="W916" i="34"/>
  <c r="W920" i="34"/>
  <c r="W924" i="34"/>
  <c r="W928" i="34"/>
  <c r="W932" i="34"/>
  <c r="W936" i="34"/>
  <c r="W940" i="34"/>
  <c r="W944" i="34"/>
  <c r="W948" i="34"/>
  <c r="W952" i="34"/>
  <c r="W956" i="34"/>
  <c r="W960" i="34"/>
  <c r="W964" i="34"/>
  <c r="W968" i="34"/>
  <c r="W972" i="34"/>
  <c r="W976" i="34"/>
  <c r="W980" i="34"/>
  <c r="W984" i="34"/>
  <c r="W988" i="34"/>
  <c r="W992" i="34"/>
  <c r="W996" i="34"/>
  <c r="W1000" i="34"/>
  <c r="W1004" i="34"/>
  <c r="W1008" i="34"/>
  <c r="W1012" i="34"/>
  <c r="W1016" i="34"/>
  <c r="W1020" i="34"/>
  <c r="W1024" i="34"/>
  <c r="W1028" i="34"/>
  <c r="W1032" i="34"/>
  <c r="W694" i="34"/>
  <c r="W699" i="34"/>
  <c r="W705" i="34"/>
  <c r="W709" i="34"/>
  <c r="W713" i="34"/>
  <c r="W717" i="34"/>
  <c r="W721" i="34"/>
  <c r="W725" i="34"/>
  <c r="W729" i="34"/>
  <c r="W733" i="34"/>
  <c r="W737" i="34"/>
  <c r="W741" i="34"/>
  <c r="W745" i="34"/>
  <c r="W749" i="34"/>
  <c r="W753" i="34"/>
  <c r="W757" i="34"/>
  <c r="W761" i="34"/>
  <c r="W765" i="34"/>
  <c r="W769" i="34"/>
  <c r="W773" i="34"/>
  <c r="W777" i="34"/>
  <c r="W781" i="34"/>
  <c r="W785" i="34"/>
  <c r="W789" i="34"/>
  <c r="W793" i="34"/>
  <c r="W797" i="34"/>
  <c r="W801" i="34"/>
  <c r="W805" i="34"/>
  <c r="W809" i="34"/>
  <c r="W813" i="34"/>
  <c r="W817" i="34"/>
  <c r="W821" i="34"/>
  <c r="W825" i="34"/>
  <c r="W829" i="34"/>
  <c r="W833" i="34"/>
  <c r="W837" i="34"/>
  <c r="W841" i="34"/>
  <c r="W845" i="34"/>
  <c r="W849" i="34"/>
  <c r="W853" i="34"/>
  <c r="W857" i="34"/>
  <c r="W861" i="34"/>
  <c r="W865" i="34"/>
  <c r="W869" i="34"/>
  <c r="W873" i="34"/>
  <c r="W877" i="34"/>
  <c r="W881" i="34"/>
  <c r="W885" i="34"/>
  <c r="W889" i="34"/>
  <c r="W893" i="34"/>
  <c r="W897" i="34"/>
  <c r="W901" i="34"/>
  <c r="W905" i="34"/>
  <c r="W909" i="34"/>
  <c r="W913" i="34"/>
  <c r="W917" i="34"/>
  <c r="W921" i="34"/>
  <c r="W925" i="34"/>
  <c r="W929" i="34"/>
  <c r="W933" i="34"/>
  <c r="W937" i="34"/>
  <c r="W941" i="34"/>
  <c r="W945" i="34"/>
  <c r="W949" i="34"/>
  <c r="W953" i="34"/>
  <c r="W957" i="34"/>
  <c r="W961" i="34"/>
  <c r="W965" i="34"/>
  <c r="W969" i="34"/>
  <c r="W973" i="34"/>
  <c r="W977" i="34"/>
  <c r="W981" i="34"/>
  <c r="W985" i="34"/>
  <c r="W989" i="34"/>
  <c r="W993" i="34"/>
  <c r="W997" i="34"/>
  <c r="W1001" i="34"/>
  <c r="W1005" i="34"/>
  <c r="W1009" i="34"/>
  <c r="W1013" i="34"/>
  <c r="W1017" i="34"/>
  <c r="W1021" i="34"/>
  <c r="W1025" i="34"/>
  <c r="W1029" i="34"/>
  <c r="W695" i="34"/>
  <c r="W701" i="34"/>
  <c r="W706" i="34"/>
  <c r="W710" i="34"/>
  <c r="W714" i="34"/>
  <c r="W718" i="34"/>
  <c r="W722" i="34"/>
  <c r="W726" i="34"/>
  <c r="W730" i="34"/>
  <c r="W734" i="34"/>
  <c r="W738" i="34"/>
  <c r="W742" i="34"/>
  <c r="W746" i="34"/>
  <c r="W750" i="34"/>
  <c r="W754" i="34"/>
  <c r="W758" i="34"/>
  <c r="W762" i="34"/>
  <c r="W766" i="34"/>
  <c r="W770" i="34"/>
  <c r="W774" i="34"/>
  <c r="W778" i="34"/>
  <c r="W782" i="34"/>
  <c r="W786" i="34"/>
  <c r="W790" i="34"/>
  <c r="W794" i="34"/>
  <c r="W798" i="34"/>
  <c r="W802" i="34"/>
  <c r="W806" i="34"/>
  <c r="W810" i="34"/>
  <c r="W814" i="34"/>
  <c r="W818" i="34"/>
  <c r="W822" i="34"/>
  <c r="W826" i="34"/>
  <c r="W830" i="34"/>
  <c r="W834" i="34"/>
  <c r="W838" i="34"/>
  <c r="W842" i="34"/>
  <c r="W846" i="34"/>
  <c r="W850" i="34"/>
  <c r="W854" i="34"/>
  <c r="W858" i="34"/>
  <c r="W862" i="34"/>
  <c r="W866" i="34"/>
  <c r="W870" i="34"/>
  <c r="W874" i="34"/>
  <c r="W878" i="34"/>
  <c r="W882" i="34"/>
  <c r="W886" i="34"/>
  <c r="W890" i="34"/>
  <c r="W894" i="34"/>
  <c r="W898" i="34"/>
  <c r="W902" i="34"/>
  <c r="W906" i="34"/>
  <c r="W910" i="34"/>
  <c r="W914" i="34"/>
  <c r="W918" i="34"/>
  <c r="W922" i="34"/>
  <c r="W926" i="34"/>
  <c r="W930" i="34"/>
  <c r="W934" i="34"/>
  <c r="W938" i="34"/>
  <c r="W942" i="34"/>
  <c r="W946" i="34"/>
  <c r="W950" i="34"/>
  <c r="W954" i="34"/>
  <c r="W958" i="34"/>
  <c r="W962" i="34"/>
  <c r="W966" i="34"/>
  <c r="W970" i="34"/>
  <c r="W974" i="34"/>
  <c r="W978" i="34"/>
  <c r="W982" i="34"/>
  <c r="W986" i="34"/>
  <c r="W990" i="34"/>
  <c r="W994" i="34"/>
  <c r="W998" i="34"/>
  <c r="W1002" i="34"/>
  <c r="W1006" i="34"/>
  <c r="W1010" i="34"/>
  <c r="W1014" i="34"/>
  <c r="W1018" i="34"/>
  <c r="W1022" i="34"/>
  <c r="W1026" i="34"/>
  <c r="W1030" i="34"/>
  <c r="W1034" i="34"/>
  <c r="W1038" i="34"/>
  <c r="W1042" i="34"/>
  <c r="W1040" i="34"/>
  <c r="W1045" i="34"/>
  <c r="W1049" i="34"/>
  <c r="W1053" i="34"/>
  <c r="W1057" i="34"/>
  <c r="W1061" i="34"/>
  <c r="W1065" i="34"/>
  <c r="W1069" i="34"/>
  <c r="W1073" i="34"/>
  <c r="W1077" i="34"/>
  <c r="W1081" i="34"/>
  <c r="W1085" i="34"/>
  <c r="W1089" i="34"/>
  <c r="W1093" i="34"/>
  <c r="W1097" i="34"/>
  <c r="W1101" i="34"/>
  <c r="W1105" i="34"/>
  <c r="W1109" i="34"/>
  <c r="W1113" i="34"/>
  <c r="W1117" i="34"/>
  <c r="W1121" i="34"/>
  <c r="W1125" i="34"/>
  <c r="W1129" i="34"/>
  <c r="W1133" i="34"/>
  <c r="W1137" i="34"/>
  <c r="W1141" i="34"/>
  <c r="W1145" i="34"/>
  <c r="W1149" i="34"/>
  <c r="W1153" i="34"/>
  <c r="W1157" i="34"/>
  <c r="W1161" i="34"/>
  <c r="W1165" i="34"/>
  <c r="W1169" i="34"/>
  <c r="W1173" i="34"/>
  <c r="W1177" i="34"/>
  <c r="W1181" i="34"/>
  <c r="W1185" i="34"/>
  <c r="W1189" i="34"/>
  <c r="W1193" i="34"/>
  <c r="W1197" i="34"/>
  <c r="W1201" i="34"/>
  <c r="W1205" i="34"/>
  <c r="W1209" i="34"/>
  <c r="W1213" i="34"/>
  <c r="W1217" i="34"/>
  <c r="W1221" i="34"/>
  <c r="W1225" i="34"/>
  <c r="W1229" i="34"/>
  <c r="W1233" i="34"/>
  <c r="W1237" i="34"/>
  <c r="W1241" i="34"/>
  <c r="W1245" i="34"/>
  <c r="W1249" i="34"/>
  <c r="W1253" i="34"/>
  <c r="W1257" i="34"/>
  <c r="W1261" i="34"/>
  <c r="W1265" i="34"/>
  <c r="W1269" i="34"/>
  <c r="W1273" i="34"/>
  <c r="W1277" i="34"/>
  <c r="W1281" i="34"/>
  <c r="W1285" i="34"/>
  <c r="W1289" i="34"/>
  <c r="W1293" i="34"/>
  <c r="W1297" i="34"/>
  <c r="W1301" i="34"/>
  <c r="W1305" i="34"/>
  <c r="W1309" i="34"/>
  <c r="W1313" i="34"/>
  <c r="W1317" i="34"/>
  <c r="W1321" i="34"/>
  <c r="W1325" i="34"/>
  <c r="W1329" i="34"/>
  <c r="W1333" i="34"/>
  <c r="W1337" i="34"/>
  <c r="W1341" i="34"/>
  <c r="W1345" i="34"/>
  <c r="W1349" i="34"/>
  <c r="W1353" i="34"/>
  <c r="W1357" i="34"/>
  <c r="W1361" i="34"/>
  <c r="W1365" i="34"/>
  <c r="W1369" i="34"/>
  <c r="W1373" i="34"/>
  <c r="W1377" i="34"/>
  <c r="W1033" i="34"/>
  <c r="W1041" i="34"/>
  <c r="W1046" i="34"/>
  <c r="W1050" i="34"/>
  <c r="W1054" i="34"/>
  <c r="W1058" i="34"/>
  <c r="W1062" i="34"/>
  <c r="W1066" i="34"/>
  <c r="W1070" i="34"/>
  <c r="W1074" i="34"/>
  <c r="W1078" i="34"/>
  <c r="W1082" i="34"/>
  <c r="W1086" i="34"/>
  <c r="W1090" i="34"/>
  <c r="W1094" i="34"/>
  <c r="W1098" i="34"/>
  <c r="W1102" i="34"/>
  <c r="W1106" i="34"/>
  <c r="W1110" i="34"/>
  <c r="W1114" i="34"/>
  <c r="W1118" i="34"/>
  <c r="W1122" i="34"/>
  <c r="W1126" i="34"/>
  <c r="W1130" i="34"/>
  <c r="W1134" i="34"/>
  <c r="W1138" i="34"/>
  <c r="W1142" i="34"/>
  <c r="W1146" i="34"/>
  <c r="W1150" i="34"/>
  <c r="W1154" i="34"/>
  <c r="W1158" i="34"/>
  <c r="W1162" i="34"/>
  <c r="W1166" i="34"/>
  <c r="W1170" i="34"/>
  <c r="W1174" i="34"/>
  <c r="W1178" i="34"/>
  <c r="W1182" i="34"/>
  <c r="W1186" i="34"/>
  <c r="W1190" i="34"/>
  <c r="W1194" i="34"/>
  <c r="W1198" i="34"/>
  <c r="W1202" i="34"/>
  <c r="W1206" i="34"/>
  <c r="W1210" i="34"/>
  <c r="W1214" i="34"/>
  <c r="W1218" i="34"/>
  <c r="W1222" i="34"/>
  <c r="W1226" i="34"/>
  <c r="W1230" i="34"/>
  <c r="W1234" i="34"/>
  <c r="W1238" i="34"/>
  <c r="W1242" i="34"/>
  <c r="W1246" i="34"/>
  <c r="W1250" i="34"/>
  <c r="W1254" i="34"/>
  <c r="W1258" i="34"/>
  <c r="W1262" i="34"/>
  <c r="W1266" i="34"/>
  <c r="W1270" i="34"/>
  <c r="W1274" i="34"/>
  <c r="W1278" i="34"/>
  <c r="W1282" i="34"/>
  <c r="W1286" i="34"/>
  <c r="W1290" i="34"/>
  <c r="W1294" i="34"/>
  <c r="W1298" i="34"/>
  <c r="W1302" i="34"/>
  <c r="W1306" i="34"/>
  <c r="W1310" i="34"/>
  <c r="W1314" i="34"/>
  <c r="W1318" i="34"/>
  <c r="W1322" i="34"/>
  <c r="W1326" i="34"/>
  <c r="W1330" i="34"/>
  <c r="W1334" i="34"/>
  <c r="W1338" i="34"/>
  <c r="W1342" i="34"/>
  <c r="W1346" i="34"/>
  <c r="W1350" i="34"/>
  <c r="W1354" i="34"/>
  <c r="W1358" i="34"/>
  <c r="W1362" i="34"/>
  <c r="W1366" i="34"/>
  <c r="W1370" i="34"/>
  <c r="W1374" i="34"/>
  <c r="W1036" i="34"/>
  <c r="W1043" i="34"/>
  <c r="W1047" i="34"/>
  <c r="W1051" i="34"/>
  <c r="W1055" i="34"/>
  <c r="W1059" i="34"/>
  <c r="W1063" i="34"/>
  <c r="W1067" i="34"/>
  <c r="W1071" i="34"/>
  <c r="W1075" i="34"/>
  <c r="W1079" i="34"/>
  <c r="W1083" i="34"/>
  <c r="W1087" i="34"/>
  <c r="W1091" i="34"/>
  <c r="W1095" i="34"/>
  <c r="W1099" i="34"/>
  <c r="W1103" i="34"/>
  <c r="W1107" i="34"/>
  <c r="W1111" i="34"/>
  <c r="W1115" i="34"/>
  <c r="W1119" i="34"/>
  <c r="W1123" i="34"/>
  <c r="W1127" i="34"/>
  <c r="W1131" i="34"/>
  <c r="W1135" i="34"/>
  <c r="W1139" i="34"/>
  <c r="W1143" i="34"/>
  <c r="W1147" i="34"/>
  <c r="W1151" i="34"/>
  <c r="W1155" i="34"/>
  <c r="W1159" i="34"/>
  <c r="W1163" i="34"/>
  <c r="W1167" i="34"/>
  <c r="W1171" i="34"/>
  <c r="W1175" i="34"/>
  <c r="W1179" i="34"/>
  <c r="W1183" i="34"/>
  <c r="W1187" i="34"/>
  <c r="W1191" i="34"/>
  <c r="W1195" i="34"/>
  <c r="W1199" i="34"/>
  <c r="W1203" i="34"/>
  <c r="W1207" i="34"/>
  <c r="W1211" i="34"/>
  <c r="W1215" i="34"/>
  <c r="W1219" i="34"/>
  <c r="W1223" i="34"/>
  <c r="W1227" i="34"/>
  <c r="W1231" i="34"/>
  <c r="W1235" i="34"/>
  <c r="W1239" i="34"/>
  <c r="W1243" i="34"/>
  <c r="W1247" i="34"/>
  <c r="W1251" i="34"/>
  <c r="W1255" i="34"/>
  <c r="W1259" i="34"/>
  <c r="W1263" i="34"/>
  <c r="W1267" i="34"/>
  <c r="W1271" i="34"/>
  <c r="W1275" i="34"/>
  <c r="W1279" i="34"/>
  <c r="W1283" i="34"/>
  <c r="W1287" i="34"/>
  <c r="W1291" i="34"/>
  <c r="W1295" i="34"/>
  <c r="W1299" i="34"/>
  <c r="W1303" i="34"/>
  <c r="W1307" i="34"/>
  <c r="W1311" i="34"/>
  <c r="W1315" i="34"/>
  <c r="W1319" i="34"/>
  <c r="W1323" i="34"/>
  <c r="W1327" i="34"/>
  <c r="W1331" i="34"/>
  <c r="W1335" i="34"/>
  <c r="W1339" i="34"/>
  <c r="W1343" i="34"/>
  <c r="W1347" i="34"/>
  <c r="W1351" i="34"/>
  <c r="W1355" i="34"/>
  <c r="W1359" i="34"/>
  <c r="W1363" i="34"/>
  <c r="W1367" i="34"/>
  <c r="W1371" i="34"/>
  <c r="W1375" i="34"/>
  <c r="W1037" i="34"/>
  <c r="W1044" i="34"/>
  <c r="W1048" i="34"/>
  <c r="W1052" i="34"/>
  <c r="W1056" i="34"/>
  <c r="W1060" i="34"/>
  <c r="W1064" i="34"/>
  <c r="W1068" i="34"/>
  <c r="W1072" i="34"/>
  <c r="W1076" i="34"/>
  <c r="W1080" i="34"/>
  <c r="W1084" i="34"/>
  <c r="W1088" i="34"/>
  <c r="W1092" i="34"/>
  <c r="W1096" i="34"/>
  <c r="W1100" i="34"/>
  <c r="W1104" i="34"/>
  <c r="W1108" i="34"/>
  <c r="W1112" i="34"/>
  <c r="W1116" i="34"/>
  <c r="W1120" i="34"/>
  <c r="W1124" i="34"/>
  <c r="W1128" i="34"/>
  <c r="W1132" i="34"/>
  <c r="W1136" i="34"/>
  <c r="W1140" i="34"/>
  <c r="W1144" i="34"/>
  <c r="W1148" i="34"/>
  <c r="W1152" i="34"/>
  <c r="W1156" i="34"/>
  <c r="W1160" i="34"/>
  <c r="W1164" i="34"/>
  <c r="W1168" i="34"/>
  <c r="W1172" i="34"/>
  <c r="W1176" i="34"/>
  <c r="W1180" i="34"/>
  <c r="W1184" i="34"/>
  <c r="W1188" i="34"/>
  <c r="W1192" i="34"/>
  <c r="W1196" i="34"/>
  <c r="W1200" i="34"/>
  <c r="W1204" i="34"/>
  <c r="W1208" i="34"/>
  <c r="W1212" i="34"/>
  <c r="W1216" i="34"/>
  <c r="W1220" i="34"/>
  <c r="W1224" i="34"/>
  <c r="W1228" i="34"/>
  <c r="W1232" i="34"/>
  <c r="W1236" i="34"/>
  <c r="W1240" i="34"/>
  <c r="W1244" i="34"/>
  <c r="W1248" i="34"/>
  <c r="W1252" i="34"/>
  <c r="W1256" i="34"/>
  <c r="W1260" i="34"/>
  <c r="W1264" i="34"/>
  <c r="W1268" i="34"/>
  <c r="W1272" i="34"/>
  <c r="W1276" i="34"/>
  <c r="W1280" i="34"/>
  <c r="W1284" i="34"/>
  <c r="W1288" i="34"/>
  <c r="W1292" i="34"/>
  <c r="W1296" i="34"/>
  <c r="W1300" i="34"/>
  <c r="W1304" i="34"/>
  <c r="W1308" i="34"/>
  <c r="W1312" i="34"/>
  <c r="W1316" i="34"/>
  <c r="W1320" i="34"/>
  <c r="W1324" i="34"/>
  <c r="W1328" i="34"/>
  <c r="W1332" i="34"/>
  <c r="W1336" i="34"/>
  <c r="W1340" i="34"/>
  <c r="W1344" i="34"/>
  <c r="W1348" i="34"/>
  <c r="W1352" i="34"/>
  <c r="W1356" i="34"/>
  <c r="W1360" i="34"/>
  <c r="W1364" i="34"/>
  <c r="W1368" i="34"/>
  <c r="W1372" i="34"/>
  <c r="W1376" i="34"/>
  <c r="W1381" i="34"/>
  <c r="W1385" i="34"/>
  <c r="W1389" i="34"/>
  <c r="W1393" i="34"/>
  <c r="W1397" i="34"/>
  <c r="W1401" i="34"/>
  <c r="W1405" i="34"/>
  <c r="W1409" i="34"/>
  <c r="W1413" i="34"/>
  <c r="W1417" i="34"/>
  <c r="W1421" i="34"/>
  <c r="W1425" i="34"/>
  <c r="W1429" i="34"/>
  <c r="W1433" i="34"/>
  <c r="W1437" i="34"/>
  <c r="W1441" i="34"/>
  <c r="W1445" i="34"/>
  <c r="W1449" i="34"/>
  <c r="W1453" i="34"/>
  <c r="W1457" i="34"/>
  <c r="W1461" i="34"/>
  <c r="W1465" i="34"/>
  <c r="W1469" i="34"/>
  <c r="W1473" i="34"/>
  <c r="W1477" i="34"/>
  <c r="W1481" i="34"/>
  <c r="W1485" i="34"/>
  <c r="W1489" i="34"/>
  <c r="W1493" i="34"/>
  <c r="W1497" i="34"/>
  <c r="W1501" i="34"/>
  <c r="W1505" i="34"/>
  <c r="W1509" i="34"/>
  <c r="W1513" i="34"/>
  <c r="W1517" i="34"/>
  <c r="W1521" i="34"/>
  <c r="W1525" i="34"/>
  <c r="W1529" i="34"/>
  <c r="W1533" i="34"/>
  <c r="W1537" i="34"/>
  <c r="W1541" i="34"/>
  <c r="W1545" i="34"/>
  <c r="W1549" i="34"/>
  <c r="W1553" i="34"/>
  <c r="W1557" i="34"/>
  <c r="W1561" i="34"/>
  <c r="W1565" i="34"/>
  <c r="W1569" i="34"/>
  <c r="W1573" i="34"/>
  <c r="W1577" i="34"/>
  <c r="W1581" i="34"/>
  <c r="W1585" i="34"/>
  <c r="W1589" i="34"/>
  <c r="W1593" i="34"/>
  <c r="W1597" i="34"/>
  <c r="W1601" i="34"/>
  <c r="W1605" i="34"/>
  <c r="W1609" i="34"/>
  <c r="W1613" i="34"/>
  <c r="W1617" i="34"/>
  <c r="W1621" i="34"/>
  <c r="W1625" i="34"/>
  <c r="W1629" i="34"/>
  <c r="W1633" i="34"/>
  <c r="W1637" i="34"/>
  <c r="W1641" i="34"/>
  <c r="W1645" i="34"/>
  <c r="W1649" i="34"/>
  <c r="W1653" i="34"/>
  <c r="W1657" i="34"/>
  <c r="W1661" i="34"/>
  <c r="W1665" i="34"/>
  <c r="W1669" i="34"/>
  <c r="W1673" i="34"/>
  <c r="W1677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9" i="34"/>
  <c r="W2053" i="34"/>
  <c r="W1378" i="34"/>
  <c r="W1382" i="34"/>
  <c r="W1386" i="34"/>
  <c r="W1390" i="34"/>
  <c r="W1394" i="34"/>
  <c r="W1398" i="34"/>
  <c r="W1402" i="34"/>
  <c r="W1406" i="34"/>
  <c r="W1410" i="34"/>
  <c r="W1414" i="34"/>
  <c r="W1418" i="34"/>
  <c r="W1422" i="34"/>
  <c r="W1426" i="34"/>
  <c r="W1430" i="34"/>
  <c r="W1434" i="34"/>
  <c r="W1438" i="34"/>
  <c r="W1442" i="34"/>
  <c r="W1446" i="34"/>
  <c r="W1450" i="34"/>
  <c r="W1454" i="34"/>
  <c r="W1458" i="34"/>
  <c r="W1462" i="34"/>
  <c r="W1466" i="34"/>
  <c r="W1470" i="34"/>
  <c r="W1474" i="34"/>
  <c r="W1478" i="34"/>
  <c r="W1482" i="34"/>
  <c r="W1486" i="34"/>
  <c r="W1490" i="34"/>
  <c r="W1494" i="34"/>
  <c r="W1498" i="34"/>
  <c r="W1502" i="34"/>
  <c r="W1506" i="34"/>
  <c r="W1510" i="34"/>
  <c r="W1514" i="34"/>
  <c r="W1518" i="34"/>
  <c r="W1522" i="34"/>
  <c r="W1526" i="34"/>
  <c r="W1530" i="34"/>
  <c r="W1534" i="34"/>
  <c r="W1538" i="34"/>
  <c r="W1542" i="34"/>
  <c r="W1546" i="34"/>
  <c r="W1550" i="34"/>
  <c r="W1554" i="34"/>
  <c r="W1558" i="34"/>
  <c r="W1562" i="34"/>
  <c r="W1566" i="34"/>
  <c r="W1570" i="34"/>
  <c r="W1574" i="34"/>
  <c r="W1578" i="34"/>
  <c r="W1582" i="34"/>
  <c r="W1586" i="34"/>
  <c r="W1590" i="34"/>
  <c r="W1594" i="34"/>
  <c r="W1598" i="34"/>
  <c r="W1602" i="34"/>
  <c r="W1606" i="34"/>
  <c r="W1610" i="34"/>
  <c r="W1614" i="34"/>
  <c r="W1618" i="34"/>
  <c r="W1622" i="34"/>
  <c r="W1626" i="34"/>
  <c r="W1630" i="34"/>
  <c r="W1634" i="34"/>
  <c r="W1638" i="34"/>
  <c r="W1642" i="34"/>
  <c r="W1646" i="34"/>
  <c r="W1650" i="34"/>
  <c r="W1654" i="34"/>
  <c r="W1658" i="34"/>
  <c r="W1662" i="34"/>
  <c r="W1666" i="34"/>
  <c r="W1670" i="34"/>
  <c r="W1674" i="34"/>
  <c r="W1678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2046" i="34"/>
  <c r="W2050" i="34"/>
  <c r="W2054" i="34"/>
  <c r="W1379" i="34"/>
  <c r="W1383" i="34"/>
  <c r="W1387" i="34"/>
  <c r="W1391" i="34"/>
  <c r="W1395" i="34"/>
  <c r="W1399" i="34"/>
  <c r="W1403" i="34"/>
  <c r="W1407" i="34"/>
  <c r="W1411" i="34"/>
  <c r="W1415" i="34"/>
  <c r="W1419" i="34"/>
  <c r="W1423" i="34"/>
  <c r="W1427" i="34"/>
  <c r="W1431" i="34"/>
  <c r="W1435" i="34"/>
  <c r="W1439" i="34"/>
  <c r="W1443" i="34"/>
  <c r="W1447" i="34"/>
  <c r="W1451" i="34"/>
  <c r="W1455" i="34"/>
  <c r="W1459" i="34"/>
  <c r="W1463" i="34"/>
  <c r="W1467" i="34"/>
  <c r="W1471" i="34"/>
  <c r="W1475" i="34"/>
  <c r="W1479" i="34"/>
  <c r="W1483" i="34"/>
  <c r="W1487" i="34"/>
  <c r="W1491" i="34"/>
  <c r="W1495" i="34"/>
  <c r="W1499" i="34"/>
  <c r="W1503" i="34"/>
  <c r="W1507" i="34"/>
  <c r="W1511" i="34"/>
  <c r="W1515" i="34"/>
  <c r="W1519" i="34"/>
  <c r="W1523" i="34"/>
  <c r="W1527" i="34"/>
  <c r="W1531" i="34"/>
  <c r="W1535" i="34"/>
  <c r="W1539" i="34"/>
  <c r="W1543" i="34"/>
  <c r="W1547" i="34"/>
  <c r="W1551" i="34"/>
  <c r="W1555" i="34"/>
  <c r="W1559" i="34"/>
  <c r="W1563" i="34"/>
  <c r="W1567" i="34"/>
  <c r="W1571" i="34"/>
  <c r="W1575" i="34"/>
  <c r="W1579" i="34"/>
  <c r="W1583" i="34"/>
  <c r="W1587" i="34"/>
  <c r="W1591" i="34"/>
  <c r="W1595" i="34"/>
  <c r="W1599" i="34"/>
  <c r="W1603" i="34"/>
  <c r="W1607" i="34"/>
  <c r="W1611" i="34"/>
  <c r="W1615" i="34"/>
  <c r="W1619" i="34"/>
  <c r="W1623" i="34"/>
  <c r="W1627" i="34"/>
  <c r="W1631" i="34"/>
  <c r="W1635" i="34"/>
  <c r="W1639" i="34"/>
  <c r="W1643" i="34"/>
  <c r="W1647" i="34"/>
  <c r="W1651" i="34"/>
  <c r="W1655" i="34"/>
  <c r="W1659" i="34"/>
  <c r="W1663" i="34"/>
  <c r="W1667" i="34"/>
  <c r="W1671" i="34"/>
  <c r="W1675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047" i="34"/>
  <c r="W2051" i="34"/>
  <c r="W1380" i="34"/>
  <c r="W1384" i="34"/>
  <c r="W1388" i="34"/>
  <c r="W1392" i="34"/>
  <c r="W1396" i="34"/>
  <c r="W1400" i="34"/>
  <c r="W1404" i="34"/>
  <c r="W1408" i="34"/>
  <c r="W1412" i="34"/>
  <c r="W1416" i="34"/>
  <c r="W1420" i="34"/>
  <c r="W1424" i="34"/>
  <c r="W1428" i="34"/>
  <c r="W1432" i="34"/>
  <c r="W1436" i="34"/>
  <c r="W1440" i="34"/>
  <c r="W1444" i="34"/>
  <c r="W1448" i="34"/>
  <c r="W1452" i="34"/>
  <c r="W1456" i="34"/>
  <c r="W1460" i="34"/>
  <c r="W1464" i="34"/>
  <c r="W1468" i="34"/>
  <c r="W1472" i="34"/>
  <c r="W1476" i="34"/>
  <c r="W1480" i="34"/>
  <c r="W1484" i="34"/>
  <c r="W1488" i="34"/>
  <c r="W1492" i="34"/>
  <c r="W1496" i="34"/>
  <c r="W1500" i="34"/>
  <c r="W1504" i="34"/>
  <c r="W1508" i="34"/>
  <c r="W1512" i="34"/>
  <c r="W1516" i="34"/>
  <c r="W1520" i="34"/>
  <c r="W1524" i="34"/>
  <c r="W1528" i="34"/>
  <c r="W1532" i="34"/>
  <c r="W1536" i="34"/>
  <c r="W1540" i="34"/>
  <c r="W1544" i="34"/>
  <c r="W1548" i="34"/>
  <c r="W1552" i="34"/>
  <c r="W1556" i="34"/>
  <c r="W1560" i="34"/>
  <c r="W1564" i="34"/>
  <c r="W1568" i="34"/>
  <c r="W1572" i="34"/>
  <c r="W1576" i="34"/>
  <c r="W1580" i="34"/>
  <c r="W1584" i="34"/>
  <c r="W1588" i="34"/>
  <c r="W1592" i="34"/>
  <c r="W1596" i="34"/>
  <c r="W1600" i="34"/>
  <c r="W1604" i="34"/>
  <c r="W1608" i="34"/>
  <c r="W1612" i="34"/>
  <c r="W1616" i="34"/>
  <c r="W1620" i="34"/>
  <c r="W1624" i="34"/>
  <c r="W1628" i="34"/>
  <c r="W1632" i="34"/>
  <c r="W1636" i="34"/>
  <c r="W1640" i="34"/>
  <c r="W1644" i="34"/>
  <c r="W1648" i="34"/>
  <c r="W1652" i="34"/>
  <c r="W1656" i="34"/>
  <c r="W1660" i="34"/>
  <c r="W1664" i="34"/>
  <c r="W1668" i="34"/>
  <c r="W1672" i="34"/>
  <c r="W1676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2048" i="34"/>
  <c r="W2052" i="34"/>
  <c r="W2058" i="34"/>
  <c r="W2062" i="34"/>
  <c r="W2066" i="34"/>
  <c r="W2070" i="34"/>
  <c r="W2074" i="34"/>
  <c r="W2078" i="34"/>
  <c r="W2082" i="34"/>
  <c r="W2086" i="34"/>
  <c r="W2090" i="34"/>
  <c r="W2094" i="34"/>
  <c r="W2098" i="34"/>
  <c r="W2102" i="34"/>
  <c r="W2106" i="34"/>
  <c r="W2110" i="34"/>
  <c r="W2114" i="34"/>
  <c r="W2118" i="34"/>
  <c r="W2122" i="34"/>
  <c r="W2126" i="34"/>
  <c r="W2130" i="34"/>
  <c r="W2134" i="34"/>
  <c r="W2138" i="34"/>
  <c r="W2142" i="34"/>
  <c r="W2146" i="34"/>
  <c r="W2150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10" i="34"/>
  <c r="W2314" i="34"/>
  <c r="W2318" i="34"/>
  <c r="W2322" i="34"/>
  <c r="W2326" i="34"/>
  <c r="W2330" i="34"/>
  <c r="W2334" i="34"/>
  <c r="W2338" i="34"/>
  <c r="W2342" i="34"/>
  <c r="W2346" i="34"/>
  <c r="W2350" i="34"/>
  <c r="W2354" i="34"/>
  <c r="W2358" i="34"/>
  <c r="W2362" i="34"/>
  <c r="W2366" i="34"/>
  <c r="W2370" i="34"/>
  <c r="W2374" i="34"/>
  <c r="W2378" i="34"/>
  <c r="W2382" i="34"/>
  <c r="W2386" i="34"/>
  <c r="W2390" i="34"/>
  <c r="W2394" i="34"/>
  <c r="W2398" i="34"/>
  <c r="W2402" i="34"/>
  <c r="W2406" i="34"/>
  <c r="W2410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055" i="34"/>
  <c r="W2059" i="34"/>
  <c r="W2063" i="34"/>
  <c r="W2067" i="34"/>
  <c r="W2071" i="34"/>
  <c r="W2075" i="34"/>
  <c r="W2079" i="34"/>
  <c r="W2083" i="34"/>
  <c r="W2087" i="34"/>
  <c r="W2091" i="34"/>
  <c r="W2095" i="34"/>
  <c r="W2099" i="34"/>
  <c r="W2103" i="34"/>
  <c r="W2107" i="34"/>
  <c r="W2111" i="34"/>
  <c r="W2115" i="34"/>
  <c r="W2119" i="34"/>
  <c r="W2123" i="34"/>
  <c r="W2127" i="34"/>
  <c r="W2131" i="34"/>
  <c r="W2135" i="34"/>
  <c r="W2139" i="34"/>
  <c r="W2143" i="34"/>
  <c r="W2147" i="34"/>
  <c r="W2151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287" i="34"/>
  <c r="W2291" i="34"/>
  <c r="W2295" i="34"/>
  <c r="W2299" i="34"/>
  <c r="W2303" i="34"/>
  <c r="W2307" i="34"/>
  <c r="W2311" i="34"/>
  <c r="W2315" i="34"/>
  <c r="W2319" i="34"/>
  <c r="W2323" i="34"/>
  <c r="W2327" i="34"/>
  <c r="W2331" i="34"/>
  <c r="W2335" i="34"/>
  <c r="W2339" i="34"/>
  <c r="W2343" i="34"/>
  <c r="W2347" i="34"/>
  <c r="W2351" i="34"/>
  <c r="W2355" i="34"/>
  <c r="W2359" i="34"/>
  <c r="W2363" i="34"/>
  <c r="W2367" i="34"/>
  <c r="W2371" i="34"/>
  <c r="W2375" i="34"/>
  <c r="W2379" i="34"/>
  <c r="W2383" i="34"/>
  <c r="W2387" i="34"/>
  <c r="W2391" i="34"/>
  <c r="W2395" i="34"/>
  <c r="W2399" i="34"/>
  <c r="W2403" i="34"/>
  <c r="W2407" i="34"/>
  <c r="W2411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056" i="34"/>
  <c r="W2060" i="34"/>
  <c r="W2064" i="34"/>
  <c r="W2068" i="34"/>
  <c r="W2072" i="34"/>
  <c r="W2076" i="34"/>
  <c r="W2080" i="34"/>
  <c r="W2084" i="34"/>
  <c r="W2088" i="34"/>
  <c r="W2092" i="34"/>
  <c r="W2096" i="34"/>
  <c r="W2100" i="34"/>
  <c r="W2104" i="34"/>
  <c r="W2108" i="34"/>
  <c r="W2112" i="34"/>
  <c r="W2116" i="34"/>
  <c r="W2120" i="34"/>
  <c r="W2124" i="34"/>
  <c r="W2128" i="34"/>
  <c r="W2132" i="34"/>
  <c r="W2136" i="34"/>
  <c r="W2140" i="34"/>
  <c r="W2144" i="34"/>
  <c r="W2148" i="34"/>
  <c r="W2152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08" i="34"/>
  <c r="W2312" i="34"/>
  <c r="W2316" i="34"/>
  <c r="W2320" i="34"/>
  <c r="W2324" i="34"/>
  <c r="W2328" i="34"/>
  <c r="W2332" i="34"/>
  <c r="W2336" i="34"/>
  <c r="W2340" i="34"/>
  <c r="W2344" i="34"/>
  <c r="W2348" i="34"/>
  <c r="W2352" i="34"/>
  <c r="W2356" i="34"/>
  <c r="W2360" i="34"/>
  <c r="W2364" i="34"/>
  <c r="W2368" i="34"/>
  <c r="W2372" i="34"/>
  <c r="W2376" i="34"/>
  <c r="W2380" i="34"/>
  <c r="W2384" i="34"/>
  <c r="W2388" i="34"/>
  <c r="W2392" i="34"/>
  <c r="W2396" i="34"/>
  <c r="W2400" i="34"/>
  <c r="W2404" i="34"/>
  <c r="W2408" i="34"/>
  <c r="W2412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4" i="34"/>
  <c r="W2528" i="34"/>
  <c r="W2532" i="34"/>
  <c r="W2536" i="34"/>
  <c r="W2540" i="34"/>
  <c r="W2544" i="34"/>
  <c r="W2548" i="34"/>
  <c r="W2552" i="34"/>
  <c r="W2556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057" i="34"/>
  <c r="W2061" i="34"/>
  <c r="W2065" i="34"/>
  <c r="W2069" i="34"/>
  <c r="W2073" i="34"/>
  <c r="W2077" i="34"/>
  <c r="W2081" i="34"/>
  <c r="W2085" i="34"/>
  <c r="W2089" i="34"/>
  <c r="W2093" i="34"/>
  <c r="W2097" i="34"/>
  <c r="W2101" i="34"/>
  <c r="W2105" i="34"/>
  <c r="W2109" i="34"/>
  <c r="W2113" i="34"/>
  <c r="W2117" i="34"/>
  <c r="W2121" i="34"/>
  <c r="W2125" i="34"/>
  <c r="W2129" i="34"/>
  <c r="W2133" i="34"/>
  <c r="W2137" i="34"/>
  <c r="W2141" i="34"/>
  <c r="W2145" i="34"/>
  <c r="W2149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09" i="34"/>
  <c r="W2313" i="34"/>
  <c r="W2317" i="34"/>
  <c r="W2321" i="34"/>
  <c r="W2325" i="34"/>
  <c r="W2329" i="34"/>
  <c r="W2333" i="34"/>
  <c r="W2337" i="34"/>
  <c r="W2341" i="34"/>
  <c r="W2345" i="34"/>
  <c r="W2349" i="34"/>
  <c r="W2353" i="34"/>
  <c r="W2357" i="34"/>
  <c r="W2361" i="34"/>
  <c r="W2365" i="34"/>
  <c r="W2369" i="34"/>
  <c r="W2373" i="34"/>
  <c r="W2377" i="34"/>
  <c r="W2381" i="34"/>
  <c r="W2385" i="34"/>
  <c r="W2389" i="34"/>
  <c r="W2393" i="34"/>
  <c r="W2397" i="34"/>
  <c r="W2401" i="34"/>
  <c r="W2405" i="34"/>
  <c r="W2409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19" i="34"/>
  <c r="W2728" i="34"/>
  <c r="W2730" i="34"/>
  <c r="W2732" i="34"/>
  <c r="W2734" i="34"/>
  <c r="W2736" i="34"/>
  <c r="W2738" i="34"/>
  <c r="W2740" i="34"/>
  <c r="W2742" i="34"/>
  <c r="W2744" i="34"/>
  <c r="W2746" i="34"/>
  <c r="W2748" i="34"/>
  <c r="W2750" i="34"/>
  <c r="W2752" i="34"/>
  <c r="W2754" i="34"/>
  <c r="W2756" i="34"/>
  <c r="W2758" i="34"/>
  <c r="W2760" i="34"/>
  <c r="W2762" i="34"/>
  <c r="W2764" i="34"/>
  <c r="W2766" i="34"/>
  <c r="W2768" i="34"/>
  <c r="W2770" i="34"/>
  <c r="W2772" i="34"/>
  <c r="W2774" i="34"/>
  <c r="W2776" i="34"/>
  <c r="W2778" i="34"/>
  <c r="W2780" i="34"/>
  <c r="W2782" i="34"/>
  <c r="W2784" i="34"/>
  <c r="W2786" i="34"/>
  <c r="W2788" i="34"/>
  <c r="W2790" i="34"/>
  <c r="W2727" i="34"/>
  <c r="W2729" i="34"/>
  <c r="W2731" i="34"/>
  <c r="W2733" i="34"/>
  <c r="W2735" i="34"/>
  <c r="W2737" i="34"/>
  <c r="W2739" i="34"/>
  <c r="W2741" i="34"/>
  <c r="W2743" i="34"/>
  <c r="W2745" i="34"/>
  <c r="W2747" i="34"/>
  <c r="W2749" i="34"/>
  <c r="W2751" i="34"/>
  <c r="W2753" i="34"/>
  <c r="W2755" i="34"/>
  <c r="W2757" i="34"/>
  <c r="W2759" i="34"/>
  <c r="W2761" i="34"/>
  <c r="W2763" i="34"/>
  <c r="W2765" i="34"/>
  <c r="W2767" i="34"/>
  <c r="W2769" i="34"/>
  <c r="W2771" i="34"/>
  <c r="W2773" i="34"/>
  <c r="W2775" i="34"/>
  <c r="W2777" i="34"/>
  <c r="W2779" i="34"/>
  <c r="W2781" i="34"/>
  <c r="W2783" i="34"/>
  <c r="W2785" i="34"/>
  <c r="W2787" i="34"/>
  <c r="W2789" i="34"/>
  <c r="W2791" i="34"/>
  <c r="W2793" i="34"/>
  <c r="W2795" i="34"/>
  <c r="W2797" i="34"/>
  <c r="W2799" i="34"/>
  <c r="W2801" i="34"/>
  <c r="W2803" i="34"/>
  <c r="W2805" i="34"/>
  <c r="W2807" i="34"/>
  <c r="W2809" i="34"/>
  <c r="W2811" i="34"/>
  <c r="W2813" i="34"/>
  <c r="W2815" i="34"/>
  <c r="W2817" i="34"/>
  <c r="W2819" i="34"/>
  <c r="W2821" i="34"/>
  <c r="W2823" i="34"/>
  <c r="W2825" i="34"/>
  <c r="W2827" i="34"/>
  <c r="W2829" i="34"/>
  <c r="W2831" i="34"/>
  <c r="W2798" i="34"/>
  <c r="W2806" i="34"/>
  <c r="W2814" i="34"/>
  <c r="W2822" i="34"/>
  <c r="W2830" i="34"/>
  <c r="W2796" i="34"/>
  <c r="W2804" i="34"/>
  <c r="W2812" i="34"/>
  <c r="W2820" i="34"/>
  <c r="W2828" i="34"/>
  <c r="W2833" i="34"/>
  <c r="W2835" i="34"/>
  <c r="W2837" i="34"/>
  <c r="W2839" i="34"/>
  <c r="W2841" i="34"/>
  <c r="W2843" i="34"/>
  <c r="W2845" i="34"/>
  <c r="W2847" i="34"/>
  <c r="W2849" i="34"/>
  <c r="W2851" i="34"/>
  <c r="W2853" i="34"/>
  <c r="W2855" i="34"/>
  <c r="W2857" i="34"/>
  <c r="W2859" i="34"/>
  <c r="W2861" i="34"/>
  <c r="W2863" i="34"/>
  <c r="W2865" i="34"/>
  <c r="W2867" i="34"/>
  <c r="W2869" i="34"/>
  <c r="W2871" i="34"/>
  <c r="W2873" i="34"/>
  <c r="W2875" i="34"/>
  <c r="W2877" i="34"/>
  <c r="W2879" i="34"/>
  <c r="W2881" i="34"/>
  <c r="W2883" i="34"/>
  <c r="W2885" i="34"/>
  <c r="W2887" i="34"/>
  <c r="W2889" i="34"/>
  <c r="W2891" i="34"/>
  <c r="W2893" i="34"/>
  <c r="W2895" i="34"/>
  <c r="W2897" i="34"/>
  <c r="W2899" i="34"/>
  <c r="W2901" i="34"/>
  <c r="W2903" i="34"/>
  <c r="W2905" i="34"/>
  <c r="W2907" i="34"/>
  <c r="W2909" i="34"/>
  <c r="W2911" i="34"/>
  <c r="W2913" i="34"/>
  <c r="W2915" i="34"/>
  <c r="W2917" i="34"/>
  <c r="W2919" i="34"/>
  <c r="W2921" i="34"/>
  <c r="W2923" i="34"/>
  <c r="W2925" i="34"/>
  <c r="W2927" i="34"/>
  <c r="W2929" i="34"/>
  <c r="W2931" i="34"/>
  <c r="W2933" i="34"/>
  <c r="W2935" i="34"/>
  <c r="W2937" i="34"/>
  <c r="W2939" i="34"/>
  <c r="W2941" i="34"/>
  <c r="W2943" i="34"/>
  <c r="W2945" i="34"/>
  <c r="W2947" i="34"/>
  <c r="W2949" i="34"/>
  <c r="W2951" i="34"/>
  <c r="W2953" i="34"/>
  <c r="W2955" i="34"/>
  <c r="W2957" i="34"/>
  <c r="W2959" i="34"/>
  <c r="W2961" i="34"/>
  <c r="W2963" i="34"/>
  <c r="W2965" i="34"/>
  <c r="W2967" i="34"/>
  <c r="W2969" i="34"/>
  <c r="W2971" i="34"/>
  <c r="W2973" i="34"/>
  <c r="W2975" i="34"/>
  <c r="W2977" i="34"/>
  <c r="W2979" i="34"/>
  <c r="W2981" i="34"/>
  <c r="W2983" i="34"/>
  <c r="W2985" i="34"/>
  <c r="W2987" i="34"/>
  <c r="W2989" i="34"/>
  <c r="W2991" i="34"/>
  <c r="W2993" i="34"/>
  <c r="W2995" i="34"/>
  <c r="W2997" i="34"/>
  <c r="W2999" i="34"/>
  <c r="W3001" i="34"/>
  <c r="W3003" i="34"/>
  <c r="W3005" i="34"/>
  <c r="W3007" i="34"/>
  <c r="W3009" i="34"/>
  <c r="W3011" i="34"/>
  <c r="W3013" i="34"/>
  <c r="W3015" i="34"/>
  <c r="W3017" i="34"/>
  <c r="W3019" i="34"/>
  <c r="W3021" i="34"/>
  <c r="W3023" i="34"/>
  <c r="W3025" i="34"/>
  <c r="W3027" i="34"/>
  <c r="W3029" i="34"/>
  <c r="W3031" i="34"/>
  <c r="W3033" i="34"/>
  <c r="W3035" i="34"/>
  <c r="W3037" i="34"/>
  <c r="W3039" i="34"/>
  <c r="W3041" i="34"/>
  <c r="W3043" i="34"/>
  <c r="W3045" i="34"/>
  <c r="W3047" i="34"/>
  <c r="W3049" i="34"/>
  <c r="W3051" i="34"/>
  <c r="W3053" i="34"/>
  <c r="W3055" i="34"/>
  <c r="W3057" i="34"/>
  <c r="W3059" i="34"/>
  <c r="W3061" i="34"/>
  <c r="W3063" i="34"/>
  <c r="W3065" i="34"/>
  <c r="W3067" i="34"/>
  <c r="W3069" i="34"/>
  <c r="W3071" i="34"/>
  <c r="W3073" i="34"/>
  <c r="W3075" i="34"/>
  <c r="W3077" i="34"/>
  <c r="W3079" i="34"/>
  <c r="W3081" i="34"/>
  <c r="W3083" i="34"/>
  <c r="W3085" i="34"/>
  <c r="W3087" i="34"/>
  <c r="W3089" i="34"/>
  <c r="W3091" i="34"/>
  <c r="W3093" i="34"/>
  <c r="W3095" i="34"/>
  <c r="W3097" i="34"/>
  <c r="W3099" i="34"/>
  <c r="W3101" i="34"/>
  <c r="W3103" i="34"/>
  <c r="W3105" i="34"/>
  <c r="W3107" i="34"/>
  <c r="W3109" i="34"/>
  <c r="W3111" i="34"/>
  <c r="W3113" i="34"/>
  <c r="W3115" i="34"/>
  <c r="W3117" i="34"/>
  <c r="W3119" i="34"/>
  <c r="W2794" i="34"/>
  <c r="W2802" i="34"/>
  <c r="W2810" i="34"/>
  <c r="W2818" i="34"/>
  <c r="W2826" i="34"/>
  <c r="W3162" i="34"/>
  <c r="W2792" i="34"/>
  <c r="W2800" i="34"/>
  <c r="W2808" i="34"/>
  <c r="W2816" i="34"/>
  <c r="W2824" i="34"/>
  <c r="W2832" i="34"/>
  <c r="W2834" i="34"/>
  <c r="W2836" i="34"/>
  <c r="W2838" i="34"/>
  <c r="W2840" i="34"/>
  <c r="W2842" i="34"/>
  <c r="W2844" i="34"/>
  <c r="W2846" i="34"/>
  <c r="W2848" i="34"/>
  <c r="W2850" i="34"/>
  <c r="W2852" i="34"/>
  <c r="W2854" i="34"/>
  <c r="W2856" i="34"/>
  <c r="W2858" i="34"/>
  <c r="W2860" i="34"/>
  <c r="W2862" i="34"/>
  <c r="W2864" i="34"/>
  <c r="W2866" i="34"/>
  <c r="W2868" i="34"/>
  <c r="W2870" i="34"/>
  <c r="W2872" i="34"/>
  <c r="W2874" i="34"/>
  <c r="W2876" i="34"/>
  <c r="W2878" i="34"/>
  <c r="W2880" i="34"/>
  <c r="W2882" i="34"/>
  <c r="W2884" i="34"/>
  <c r="W2886" i="34"/>
  <c r="W2888" i="34"/>
  <c r="W2890" i="34"/>
  <c r="W2892" i="34"/>
  <c r="W2894" i="34"/>
  <c r="W2896" i="34"/>
  <c r="W2898" i="34"/>
  <c r="W2900" i="34"/>
  <c r="W2902" i="34"/>
  <c r="W2904" i="34"/>
  <c r="W2906" i="34"/>
  <c r="W2908" i="34"/>
  <c r="W2910" i="34"/>
  <c r="W2912" i="34"/>
  <c r="W2914" i="34"/>
  <c r="W2916" i="34"/>
  <c r="W2918" i="34"/>
  <c r="W2920" i="34"/>
  <c r="W2922" i="34"/>
  <c r="W2924" i="34"/>
  <c r="W2926" i="34"/>
  <c r="W2928" i="34"/>
  <c r="W2930" i="34"/>
  <c r="W2932" i="34"/>
  <c r="W2934" i="34"/>
  <c r="W2936" i="34"/>
  <c r="W2938" i="34"/>
  <c r="W2940" i="34"/>
  <c r="W2942" i="34"/>
  <c r="W2944" i="34"/>
  <c r="W2946" i="34"/>
  <c r="W2948" i="34"/>
  <c r="W2950" i="34"/>
  <c r="W2952" i="34"/>
  <c r="W2954" i="34"/>
  <c r="W2956" i="34"/>
  <c r="W2958" i="34"/>
  <c r="W2960" i="34"/>
  <c r="W2962" i="34"/>
  <c r="W2964" i="34"/>
  <c r="W2966" i="34"/>
  <c r="W2968" i="34"/>
  <c r="W2970" i="34"/>
  <c r="W2972" i="34"/>
  <c r="W2974" i="34"/>
  <c r="W2976" i="34"/>
  <c r="W2978" i="34"/>
  <c r="W2980" i="34"/>
  <c r="W2982" i="34"/>
  <c r="W2984" i="34"/>
  <c r="W2986" i="34"/>
  <c r="W2988" i="34"/>
  <c r="W2990" i="34"/>
  <c r="W2992" i="34"/>
  <c r="W2994" i="34"/>
  <c r="W2996" i="34"/>
  <c r="W2998" i="34"/>
  <c r="W3000" i="34"/>
  <c r="W3002" i="34"/>
  <c r="W3004" i="34"/>
  <c r="W3006" i="34"/>
  <c r="W3008" i="34"/>
  <c r="W3010" i="34"/>
  <c r="W3012" i="34"/>
  <c r="W3014" i="34"/>
  <c r="W3016" i="34"/>
  <c r="W3018" i="34"/>
  <c r="W3020" i="34"/>
  <c r="W3022" i="34"/>
  <c r="W3024" i="34"/>
  <c r="W3026" i="34"/>
  <c r="W3028" i="34"/>
  <c r="W3030" i="34"/>
  <c r="W3032" i="34"/>
  <c r="W3034" i="34"/>
  <c r="W3036" i="34"/>
  <c r="W3038" i="34"/>
  <c r="W3040" i="34"/>
  <c r="W3042" i="34"/>
  <c r="W3044" i="34"/>
  <c r="W3046" i="34"/>
  <c r="W3048" i="34"/>
  <c r="W3050" i="34"/>
  <c r="W3052" i="34"/>
  <c r="W3054" i="34"/>
  <c r="W3056" i="34"/>
  <c r="W3058" i="34"/>
  <c r="W3060" i="34"/>
  <c r="W3062" i="34"/>
  <c r="W3064" i="34"/>
  <c r="W3066" i="34"/>
  <c r="W3068" i="34"/>
  <c r="W3070" i="34"/>
  <c r="W3072" i="34"/>
  <c r="W3074" i="34"/>
  <c r="W3076" i="34"/>
  <c r="W3078" i="34"/>
  <c r="W3080" i="34"/>
  <c r="W3082" i="34"/>
  <c r="W3084" i="34"/>
  <c r="W3086" i="34"/>
  <c r="W3088" i="34"/>
  <c r="W3090" i="34"/>
  <c r="W3092" i="34"/>
  <c r="W3094" i="34"/>
  <c r="W3096" i="34"/>
  <c r="W3098" i="34"/>
  <c r="W3100" i="34"/>
  <c r="W3102" i="34"/>
  <c r="W3104" i="34"/>
  <c r="W3106" i="34"/>
  <c r="W3108" i="34"/>
  <c r="W3110" i="34"/>
  <c r="W3112" i="34"/>
  <c r="W3114" i="34"/>
  <c r="W3116" i="34"/>
  <c r="W3118" i="34"/>
  <c r="W3120" i="34"/>
  <c r="W3122" i="34"/>
  <c r="W3124" i="34"/>
  <c r="W3126" i="34"/>
  <c r="W3128" i="34"/>
  <c r="W3130" i="34"/>
  <c r="W3132" i="34"/>
  <c r="W3134" i="34"/>
  <c r="W3136" i="34"/>
  <c r="W3138" i="34"/>
  <c r="W3140" i="34"/>
  <c r="W3142" i="34"/>
  <c r="W3144" i="34"/>
  <c r="W3146" i="34"/>
  <c r="W3148" i="34"/>
  <c r="W3150" i="34"/>
  <c r="W3152" i="34"/>
  <c r="W3154" i="34"/>
  <c r="W3156" i="34"/>
  <c r="W3158" i="34"/>
  <c r="W3160" i="34"/>
  <c r="W3121" i="34"/>
  <c r="W3129" i="34"/>
  <c r="W3137" i="34"/>
  <c r="W3145" i="34"/>
  <c r="W3153" i="34"/>
  <c r="W3161" i="34"/>
  <c r="W3294" i="34"/>
  <c r="W3298" i="34"/>
  <c r="W3304" i="34"/>
  <c r="W3127" i="34"/>
  <c r="W3135" i="34"/>
  <c r="W3143" i="34"/>
  <c r="W3151" i="34"/>
  <c r="W3159" i="34"/>
  <c r="W3164" i="34"/>
  <c r="W3166" i="34"/>
  <c r="W3168" i="34"/>
  <c r="W3170" i="34"/>
  <c r="W3172" i="34"/>
  <c r="W3174" i="34"/>
  <c r="W3176" i="34"/>
  <c r="W3178" i="34"/>
  <c r="W3180" i="34"/>
  <c r="W3182" i="34"/>
  <c r="W3184" i="34"/>
  <c r="W3186" i="34"/>
  <c r="W3188" i="34"/>
  <c r="W3190" i="34"/>
  <c r="W3192" i="34"/>
  <c r="W3194" i="34"/>
  <c r="W3196" i="34"/>
  <c r="W3198" i="34"/>
  <c r="W3200" i="34"/>
  <c r="W3202" i="34"/>
  <c r="W3204" i="34"/>
  <c r="W3206" i="34"/>
  <c r="W3208" i="34"/>
  <c r="W3210" i="34"/>
  <c r="W3212" i="34"/>
  <c r="W3214" i="34"/>
  <c r="W3216" i="34"/>
  <c r="W3218" i="34"/>
  <c r="W3220" i="34"/>
  <c r="W3222" i="34"/>
  <c r="W3224" i="34"/>
  <c r="W3226" i="34"/>
  <c r="W3228" i="34"/>
  <c r="W3230" i="34"/>
  <c r="W3232" i="34"/>
  <c r="W3234" i="34"/>
  <c r="W3236" i="34"/>
  <c r="W3238" i="34"/>
  <c r="W3240" i="34"/>
  <c r="W3242" i="34"/>
  <c r="W3244" i="34"/>
  <c r="W3246" i="34"/>
  <c r="W3248" i="34"/>
  <c r="W3250" i="34"/>
  <c r="W3252" i="34"/>
  <c r="W3254" i="34"/>
  <c r="W3256" i="34"/>
  <c r="W3258" i="34"/>
  <c r="W3260" i="34"/>
  <c r="W3262" i="34"/>
  <c r="W3264" i="34"/>
  <c r="W3266" i="34"/>
  <c r="W3268" i="34"/>
  <c r="W3270" i="34"/>
  <c r="W3272" i="34"/>
  <c r="W3274" i="34"/>
  <c r="W3276" i="34"/>
  <c r="W3278" i="34"/>
  <c r="W3280" i="34"/>
  <c r="W3282" i="34"/>
  <c r="W3284" i="34"/>
  <c r="W3286" i="34"/>
  <c r="W3288" i="34"/>
  <c r="W3290" i="34"/>
  <c r="W3292" i="34"/>
  <c r="W3296" i="34"/>
  <c r="W3300" i="34"/>
  <c r="W3302" i="34"/>
  <c r="W3125" i="34"/>
  <c r="W3133" i="34"/>
  <c r="W3141" i="34"/>
  <c r="W3149" i="34"/>
  <c r="W3157" i="34"/>
  <c r="W3123" i="34"/>
  <c r="W3131" i="34"/>
  <c r="W3139" i="34"/>
  <c r="W3147" i="34"/>
  <c r="W3155" i="34"/>
  <c r="W3163" i="34"/>
  <c r="W3165" i="34"/>
  <c r="W3167" i="34"/>
  <c r="W3169" i="34"/>
  <c r="W3171" i="34"/>
  <c r="W3173" i="34"/>
  <c r="W3175" i="34"/>
  <c r="W3177" i="34"/>
  <c r="W3179" i="34"/>
  <c r="W3181" i="34"/>
  <c r="W3183" i="34"/>
  <c r="W3185" i="34"/>
  <c r="W3187" i="34"/>
  <c r="W3189" i="34"/>
  <c r="W3191" i="34"/>
  <c r="W3193" i="34"/>
  <c r="W3195" i="34"/>
  <c r="W3197" i="34"/>
  <c r="W3199" i="34"/>
  <c r="W3201" i="34"/>
  <c r="W3203" i="34"/>
  <c r="W3205" i="34"/>
  <c r="W3207" i="34"/>
  <c r="W3209" i="34"/>
  <c r="W3211" i="34"/>
  <c r="W3213" i="34"/>
  <c r="W3215" i="34"/>
  <c r="W3217" i="34"/>
  <c r="W3219" i="34"/>
  <c r="W3221" i="34"/>
  <c r="W3223" i="34"/>
  <c r="W3225" i="34"/>
  <c r="W3227" i="34"/>
  <c r="W3229" i="34"/>
  <c r="W3231" i="34"/>
  <c r="W3233" i="34"/>
  <c r="W3235" i="34"/>
  <c r="W3237" i="34"/>
  <c r="W3239" i="34"/>
  <c r="W3241" i="34"/>
  <c r="W3243" i="34"/>
  <c r="W3245" i="34"/>
  <c r="W3247" i="34"/>
  <c r="W3249" i="34"/>
  <c r="W3251" i="34"/>
  <c r="W3253" i="34"/>
  <c r="W3255" i="34"/>
  <c r="W3257" i="34"/>
  <c r="W3259" i="34"/>
  <c r="W3261" i="34"/>
  <c r="W3263" i="34"/>
  <c r="W3265" i="34"/>
  <c r="W3267" i="34"/>
  <c r="W3269" i="34"/>
  <c r="W3271" i="34"/>
  <c r="W3273" i="34"/>
  <c r="W3275" i="34"/>
  <c r="W3277" i="34"/>
  <c r="W3279" i="34"/>
  <c r="W3281" i="34"/>
  <c r="W3283" i="34"/>
  <c r="W3285" i="34"/>
  <c r="W3287" i="34"/>
  <c r="W3289" i="34"/>
  <c r="W3291" i="34"/>
  <c r="W3293" i="34"/>
  <c r="W3295" i="34"/>
  <c r="W3297" i="34"/>
  <c r="W3299" i="34"/>
  <c r="W3301" i="34"/>
  <c r="W3303" i="34"/>
  <c r="W16" i="34"/>
  <c r="W12" i="34"/>
  <c r="W15" i="34"/>
  <c r="W14" i="34"/>
  <c r="W18" i="34"/>
  <c r="W17" i="34"/>
  <c r="W13" i="34"/>
  <c r="W10" i="34"/>
  <c r="W11" i="34"/>
  <c r="V17" i="34"/>
  <c r="V18" i="34"/>
  <c r="H478" i="60"/>
  <c r="D478" i="60"/>
  <c r="G477" i="60"/>
  <c r="F476" i="60"/>
  <c r="E475" i="60"/>
  <c r="H474" i="60"/>
  <c r="D474" i="60"/>
  <c r="G473" i="60"/>
  <c r="F472" i="60"/>
  <c r="E471" i="60"/>
  <c r="H470" i="60"/>
  <c r="D470" i="60"/>
  <c r="G469" i="60"/>
  <c r="F468" i="60"/>
  <c r="E467" i="60"/>
  <c r="H466" i="60"/>
  <c r="D466" i="60"/>
  <c r="G465" i="60"/>
  <c r="F464" i="60"/>
  <c r="G478" i="60"/>
  <c r="F477" i="60"/>
  <c r="E476" i="60"/>
  <c r="H475" i="60"/>
  <c r="D475" i="60"/>
  <c r="G474" i="60"/>
  <c r="F473" i="60"/>
  <c r="E472" i="60"/>
  <c r="H471" i="60"/>
  <c r="D471" i="60"/>
  <c r="G470" i="60"/>
  <c r="F469" i="60"/>
  <c r="E468" i="60"/>
  <c r="H467" i="60"/>
  <c r="D467" i="60"/>
  <c r="G466" i="60"/>
  <c r="F465" i="60"/>
  <c r="E464" i="60"/>
  <c r="F478" i="60"/>
  <c r="E477" i="60"/>
  <c r="H476" i="60"/>
  <c r="D476" i="60"/>
  <c r="G475" i="60"/>
  <c r="F474" i="60"/>
  <c r="E473" i="60"/>
  <c r="H472" i="60"/>
  <c r="D472" i="60"/>
  <c r="G471" i="60"/>
  <c r="F470" i="60"/>
  <c r="E469" i="60"/>
  <c r="H468" i="60"/>
  <c r="D468" i="60"/>
  <c r="G467" i="60"/>
  <c r="F466" i="60"/>
  <c r="E465" i="60"/>
  <c r="H464" i="60"/>
  <c r="D464" i="60"/>
  <c r="E478" i="60"/>
  <c r="H477" i="60"/>
  <c r="D477" i="60"/>
  <c r="G476" i="60"/>
  <c r="F475" i="60"/>
  <c r="E474" i="60"/>
  <c r="H473" i="60"/>
  <c r="D473" i="60"/>
  <c r="G472" i="60"/>
  <c r="F471" i="60"/>
  <c r="E470" i="60"/>
  <c r="H469" i="60"/>
  <c r="D469" i="60"/>
  <c r="G468" i="60"/>
  <c r="F467" i="60"/>
  <c r="E466" i="60"/>
  <c r="H465" i="60"/>
  <c r="D465" i="60"/>
  <c r="G464" i="60"/>
  <c r="H493" i="60"/>
  <c r="D493" i="60"/>
  <c r="G492" i="60"/>
  <c r="F491" i="60"/>
  <c r="E490" i="60"/>
  <c r="H489" i="60"/>
  <c r="D489" i="60"/>
  <c r="G488" i="60"/>
  <c r="F487" i="60"/>
  <c r="E486" i="60"/>
  <c r="H485" i="60"/>
  <c r="D485" i="60"/>
  <c r="G484" i="60"/>
  <c r="F483" i="60"/>
  <c r="E482" i="60"/>
  <c r="H481" i="60"/>
  <c r="D481" i="60"/>
  <c r="G480" i="60"/>
  <c r="F479" i="60"/>
  <c r="G493" i="60"/>
  <c r="F492" i="60"/>
  <c r="E491" i="60"/>
  <c r="H490" i="60"/>
  <c r="D490" i="60"/>
  <c r="G489" i="60"/>
  <c r="F488" i="60"/>
  <c r="E487" i="60"/>
  <c r="H486" i="60"/>
  <c r="D486" i="60"/>
  <c r="G485" i="60"/>
  <c r="F484" i="60"/>
  <c r="E483" i="60"/>
  <c r="H482" i="60"/>
  <c r="D482" i="60"/>
  <c r="G481" i="60"/>
  <c r="F480" i="60"/>
  <c r="E479" i="60"/>
  <c r="F493" i="60"/>
  <c r="E492" i="60"/>
  <c r="H491" i="60"/>
  <c r="D491" i="60"/>
  <c r="G490" i="60"/>
  <c r="F489" i="60"/>
  <c r="E488" i="60"/>
  <c r="H487" i="60"/>
  <c r="D487" i="60"/>
  <c r="G486" i="60"/>
  <c r="F485" i="60"/>
  <c r="E484" i="60"/>
  <c r="H483" i="60"/>
  <c r="D483" i="60"/>
  <c r="G482" i="60"/>
  <c r="F481" i="60"/>
  <c r="E480" i="60"/>
  <c r="H479" i="60"/>
  <c r="D479" i="60"/>
  <c r="E493" i="60"/>
  <c r="H492" i="60"/>
  <c r="D492" i="60"/>
  <c r="G491" i="60"/>
  <c r="F490" i="60"/>
  <c r="E489" i="60"/>
  <c r="H488" i="60"/>
  <c r="D488" i="60"/>
  <c r="G487" i="60"/>
  <c r="F486" i="60"/>
  <c r="E485" i="60"/>
  <c r="H484" i="60"/>
  <c r="D484" i="60"/>
  <c r="G483" i="60"/>
  <c r="F482" i="60"/>
  <c r="E481" i="60"/>
  <c r="H480" i="60"/>
  <c r="D480" i="60"/>
  <c r="G479" i="60"/>
  <c r="H508" i="60"/>
  <c r="D508" i="60"/>
  <c r="G507" i="60"/>
  <c r="F506" i="60"/>
  <c r="E505" i="60"/>
  <c r="H504" i="60"/>
  <c r="D504" i="60"/>
  <c r="G503" i="60"/>
  <c r="F502" i="60"/>
  <c r="E501" i="60"/>
  <c r="H500" i="60"/>
  <c r="D500" i="60"/>
  <c r="G499" i="60"/>
  <c r="F498" i="60"/>
  <c r="E497" i="60"/>
  <c r="H496" i="60"/>
  <c r="D496" i="60"/>
  <c r="G495" i="60"/>
  <c r="F494" i="60"/>
  <c r="G508" i="60"/>
  <c r="F507" i="60"/>
  <c r="E506" i="60"/>
  <c r="H505" i="60"/>
  <c r="D505" i="60"/>
  <c r="G504" i="60"/>
  <c r="F503" i="60"/>
  <c r="E502" i="60"/>
  <c r="H501" i="60"/>
  <c r="D501" i="60"/>
  <c r="G500" i="60"/>
  <c r="F499" i="60"/>
  <c r="E498" i="60"/>
  <c r="H497" i="60"/>
  <c r="D497" i="60"/>
  <c r="G496" i="60"/>
  <c r="F495" i="60"/>
  <c r="E494" i="60"/>
  <c r="F508" i="60"/>
  <c r="E507" i="60"/>
  <c r="H506" i="60"/>
  <c r="D506" i="60"/>
  <c r="G505" i="60"/>
  <c r="F504" i="60"/>
  <c r="E503" i="60"/>
  <c r="H502" i="60"/>
  <c r="D502" i="60"/>
  <c r="G501" i="60"/>
  <c r="F500" i="60"/>
  <c r="E499" i="60"/>
  <c r="H498" i="60"/>
  <c r="D498" i="60"/>
  <c r="G497" i="60"/>
  <c r="F496" i="60"/>
  <c r="E495" i="60"/>
  <c r="H494" i="60"/>
  <c r="D494" i="60"/>
  <c r="E508" i="60"/>
  <c r="H507" i="60"/>
  <c r="D507" i="60"/>
  <c r="G506" i="60"/>
  <c r="F505" i="60"/>
  <c r="E504" i="60"/>
  <c r="H503" i="60"/>
  <c r="D503" i="60"/>
  <c r="G502" i="60"/>
  <c r="F501" i="60"/>
  <c r="E500" i="60"/>
  <c r="H499" i="60"/>
  <c r="D499" i="60"/>
  <c r="G498" i="60"/>
  <c r="F497" i="60"/>
  <c r="E496" i="60"/>
  <c r="H495" i="60"/>
  <c r="D495" i="60"/>
  <c r="G494" i="60"/>
  <c r="F521" i="60"/>
  <c r="E520" i="60"/>
  <c r="H519" i="60"/>
  <c r="D519" i="60"/>
  <c r="G518" i="60"/>
  <c r="F517" i="60"/>
  <c r="E516" i="60"/>
  <c r="H515" i="60"/>
  <c r="D515" i="60"/>
  <c r="G514" i="60"/>
  <c r="F513" i="60"/>
  <c r="E512" i="60"/>
  <c r="H511" i="60"/>
  <c r="D511" i="60"/>
  <c r="G510" i="60"/>
  <c r="F509" i="60"/>
  <c r="E521" i="60"/>
  <c r="H520" i="60"/>
  <c r="D520" i="60"/>
  <c r="G519" i="60"/>
  <c r="F518" i="60"/>
  <c r="E517" i="60"/>
  <c r="H516" i="60"/>
  <c r="D516" i="60"/>
  <c r="G515" i="60"/>
  <c r="F514" i="60"/>
  <c r="E513" i="60"/>
  <c r="H512" i="60"/>
  <c r="D512" i="60"/>
  <c r="G511" i="60"/>
  <c r="F510" i="60"/>
  <c r="E509" i="60"/>
  <c r="H521" i="60"/>
  <c r="D521" i="60"/>
  <c r="G520" i="60"/>
  <c r="F519" i="60"/>
  <c r="E518" i="60"/>
  <c r="H517" i="60"/>
  <c r="D517" i="60"/>
  <c r="G516" i="60"/>
  <c r="F515" i="60"/>
  <c r="E514" i="60"/>
  <c r="H513" i="60"/>
  <c r="D513" i="60"/>
  <c r="G512" i="60"/>
  <c r="F511" i="60"/>
  <c r="E510" i="60"/>
  <c r="H509" i="60"/>
  <c r="D509" i="60"/>
  <c r="G521" i="60"/>
  <c r="F520" i="60"/>
  <c r="E519" i="60"/>
  <c r="H518" i="60"/>
  <c r="D518" i="60"/>
  <c r="G517" i="60"/>
  <c r="F516" i="60"/>
  <c r="E515" i="60"/>
  <c r="H514" i="60"/>
  <c r="D514" i="60"/>
  <c r="G513" i="60"/>
  <c r="F512" i="60"/>
  <c r="E511" i="60"/>
  <c r="H510" i="60"/>
  <c r="D510" i="60"/>
  <c r="G509" i="60"/>
  <c r="G430" i="60"/>
  <c r="E429" i="60"/>
  <c r="G428" i="60"/>
  <c r="E427" i="60"/>
  <c r="G426" i="60"/>
  <c r="E425" i="60"/>
  <c r="G424" i="60"/>
  <c r="E423" i="60"/>
  <c r="G422" i="60"/>
  <c r="E421" i="60"/>
  <c r="G420" i="60"/>
  <c r="E419" i="60"/>
  <c r="G418" i="60"/>
  <c r="E417" i="60"/>
  <c r="G416" i="60"/>
  <c r="E415" i="60"/>
  <c r="G414" i="60"/>
  <c r="E413" i="60"/>
  <c r="G412" i="60"/>
  <c r="E411" i="60"/>
  <c r="G410" i="60"/>
  <c r="E409" i="60"/>
  <c r="G408" i="60"/>
  <c r="E407" i="60"/>
  <c r="G406" i="60"/>
  <c r="E405" i="60"/>
  <c r="G404" i="60"/>
  <c r="E403" i="60"/>
  <c r="G402" i="60"/>
  <c r="E401" i="60"/>
  <c r="G400" i="60"/>
  <c r="E399" i="60"/>
  <c r="G398" i="60"/>
  <c r="E397" i="60"/>
  <c r="G396" i="60"/>
  <c r="E395" i="60"/>
  <c r="G394" i="60"/>
  <c r="E393" i="60"/>
  <c r="G392" i="60"/>
  <c r="E391" i="60"/>
  <c r="G390" i="60"/>
  <c r="E389" i="60"/>
  <c r="G388" i="60"/>
  <c r="E387" i="60"/>
  <c r="F430" i="60"/>
  <c r="H429" i="60"/>
  <c r="D429" i="60"/>
  <c r="F428" i="60"/>
  <c r="H427" i="60"/>
  <c r="D427" i="60"/>
  <c r="F426" i="60"/>
  <c r="H425" i="60"/>
  <c r="D425" i="60"/>
  <c r="F424" i="60"/>
  <c r="H423" i="60"/>
  <c r="D423" i="60"/>
  <c r="F422" i="60"/>
  <c r="H421" i="60"/>
  <c r="D421" i="60"/>
  <c r="F420" i="60"/>
  <c r="H419" i="60"/>
  <c r="D419" i="60"/>
  <c r="F418" i="60"/>
  <c r="H417" i="60"/>
  <c r="D417" i="60"/>
  <c r="F416" i="60"/>
  <c r="H415" i="60"/>
  <c r="D415" i="60"/>
  <c r="F414" i="60"/>
  <c r="H413" i="60"/>
  <c r="D413" i="60"/>
  <c r="F412" i="60"/>
  <c r="H411" i="60"/>
  <c r="D411" i="60"/>
  <c r="F410" i="60"/>
  <c r="H409" i="60"/>
  <c r="D409" i="60"/>
  <c r="F408" i="60"/>
  <c r="H407" i="60"/>
  <c r="D407" i="60"/>
  <c r="F406" i="60"/>
  <c r="H405" i="60"/>
  <c r="D405" i="60"/>
  <c r="F404" i="60"/>
  <c r="H403" i="60"/>
  <c r="D403" i="60"/>
  <c r="F402" i="60"/>
  <c r="H401" i="60"/>
  <c r="D401" i="60"/>
  <c r="F400" i="60"/>
  <c r="H399" i="60"/>
  <c r="D399" i="60"/>
  <c r="F398" i="60"/>
  <c r="H397" i="60"/>
  <c r="D397" i="60"/>
  <c r="F396" i="60"/>
  <c r="H395" i="60"/>
  <c r="D395" i="60"/>
  <c r="F394" i="60"/>
  <c r="H393" i="60"/>
  <c r="D393" i="60"/>
  <c r="F392" i="60"/>
  <c r="H391" i="60"/>
  <c r="D391" i="60"/>
  <c r="F390" i="60"/>
  <c r="H389" i="60"/>
  <c r="D389" i="60"/>
  <c r="F388" i="60"/>
  <c r="H387" i="60"/>
  <c r="D387" i="60"/>
  <c r="E430" i="60"/>
  <c r="G429" i="60"/>
  <c r="E428" i="60"/>
  <c r="G427" i="60"/>
  <c r="E426" i="60"/>
  <c r="G425" i="60"/>
  <c r="E424" i="60"/>
  <c r="G423" i="60"/>
  <c r="E422" i="60"/>
  <c r="G421" i="60"/>
  <c r="E420" i="60"/>
  <c r="G419" i="60"/>
  <c r="E418" i="60"/>
  <c r="G417" i="60"/>
  <c r="E416" i="60"/>
  <c r="G415" i="60"/>
  <c r="E414" i="60"/>
  <c r="G413" i="60"/>
  <c r="E412" i="60"/>
  <c r="G411" i="60"/>
  <c r="E410" i="60"/>
  <c r="G409" i="60"/>
  <c r="E408" i="60"/>
  <c r="G407" i="60"/>
  <c r="E406" i="60"/>
  <c r="G405" i="60"/>
  <c r="E404" i="60"/>
  <c r="G403" i="60"/>
  <c r="E402" i="60"/>
  <c r="G401" i="60"/>
  <c r="E400" i="60"/>
  <c r="G399" i="60"/>
  <c r="E398" i="60"/>
  <c r="G397" i="60"/>
  <c r="E396" i="60"/>
  <c r="G395" i="60"/>
  <c r="E394" i="60"/>
  <c r="G393" i="60"/>
  <c r="E392" i="60"/>
  <c r="G391" i="60"/>
  <c r="E390" i="60"/>
  <c r="G389" i="60"/>
  <c r="E388" i="60"/>
  <c r="G387" i="60"/>
  <c r="H430" i="60"/>
  <c r="D430" i="60"/>
  <c r="F429" i="60"/>
  <c r="H428" i="60"/>
  <c r="D428" i="60"/>
  <c r="F427" i="60"/>
  <c r="H426" i="60"/>
  <c r="D426" i="60"/>
  <c r="F425" i="60"/>
  <c r="H424" i="60"/>
  <c r="D424" i="60"/>
  <c r="F423" i="60"/>
  <c r="H422" i="60"/>
  <c r="D422" i="60"/>
  <c r="F421" i="60"/>
  <c r="H420" i="60"/>
  <c r="D420" i="60"/>
  <c r="F419" i="60"/>
  <c r="H418" i="60"/>
  <c r="D418" i="60"/>
  <c r="F417" i="60"/>
  <c r="H416" i="60"/>
  <c r="D416" i="60"/>
  <c r="F415" i="60"/>
  <c r="H414" i="60"/>
  <c r="D414" i="60"/>
  <c r="F413" i="60"/>
  <c r="H412" i="60"/>
  <c r="D412" i="60"/>
  <c r="F411" i="60"/>
  <c r="H410" i="60"/>
  <c r="D410" i="60"/>
  <c r="F409" i="60"/>
  <c r="H408" i="60"/>
  <c r="D408" i="60"/>
  <c r="F407" i="60"/>
  <c r="H406" i="60"/>
  <c r="D406" i="60"/>
  <c r="F405" i="60"/>
  <c r="H404" i="60"/>
  <c r="D404" i="60"/>
  <c r="F403" i="60"/>
  <c r="H402" i="60"/>
  <c r="D402" i="60"/>
  <c r="F401" i="60"/>
  <c r="H400" i="60"/>
  <c r="D400" i="60"/>
  <c r="F399" i="60"/>
  <c r="H398" i="60"/>
  <c r="D398" i="60"/>
  <c r="F397" i="60"/>
  <c r="H396" i="60"/>
  <c r="D396" i="60"/>
  <c r="F395" i="60"/>
  <c r="H394" i="60"/>
  <c r="D394" i="60"/>
  <c r="F393" i="60"/>
  <c r="H392" i="60"/>
  <c r="D392" i="60"/>
  <c r="F391" i="60"/>
  <c r="H390" i="60"/>
  <c r="D390" i="60"/>
  <c r="F389" i="60"/>
  <c r="H388" i="60"/>
  <c r="D388" i="60"/>
  <c r="F387" i="60"/>
  <c r="G450" i="60"/>
  <c r="E449" i="60"/>
  <c r="G448" i="60"/>
  <c r="E447" i="60"/>
  <c r="G446" i="60"/>
  <c r="E445" i="60"/>
  <c r="G444" i="60"/>
  <c r="E443" i="60"/>
  <c r="G442" i="60"/>
  <c r="E441" i="60"/>
  <c r="G440" i="60"/>
  <c r="E439" i="60"/>
  <c r="G438" i="60"/>
  <c r="E437" i="60"/>
  <c r="G436" i="60"/>
  <c r="E435" i="60"/>
  <c r="G434" i="60"/>
  <c r="E433" i="60"/>
  <c r="G432" i="60"/>
  <c r="E431" i="60"/>
  <c r="F450" i="60"/>
  <c r="H449" i="60"/>
  <c r="D449" i="60"/>
  <c r="F448" i="60"/>
  <c r="H447" i="60"/>
  <c r="D447" i="60"/>
  <c r="F446" i="60"/>
  <c r="H445" i="60"/>
  <c r="D445" i="60"/>
  <c r="F444" i="60"/>
  <c r="H443" i="60"/>
  <c r="D443" i="60"/>
  <c r="F442" i="60"/>
  <c r="H441" i="60"/>
  <c r="D441" i="60"/>
  <c r="F440" i="60"/>
  <c r="H439" i="60"/>
  <c r="D439" i="60"/>
  <c r="F438" i="60"/>
  <c r="H437" i="60"/>
  <c r="D437" i="60"/>
  <c r="F436" i="60"/>
  <c r="H435" i="60"/>
  <c r="D435" i="60"/>
  <c r="F434" i="60"/>
  <c r="H433" i="60"/>
  <c r="D433" i="60"/>
  <c r="F432" i="60"/>
  <c r="H431" i="60"/>
  <c r="D431" i="60"/>
  <c r="E450" i="60"/>
  <c r="G449" i="60"/>
  <c r="E448" i="60"/>
  <c r="G447" i="60"/>
  <c r="E446" i="60"/>
  <c r="G445" i="60"/>
  <c r="E444" i="60"/>
  <c r="G443" i="60"/>
  <c r="E442" i="60"/>
  <c r="G441" i="60"/>
  <c r="E440" i="60"/>
  <c r="G439" i="60"/>
  <c r="E438" i="60"/>
  <c r="G437" i="60"/>
  <c r="E436" i="60"/>
  <c r="G435" i="60"/>
  <c r="E434" i="60"/>
  <c r="G433" i="60"/>
  <c r="E432" i="60"/>
  <c r="G431" i="60"/>
  <c r="H450" i="60"/>
  <c r="D450" i="60"/>
  <c r="F449" i="60"/>
  <c r="H448" i="60"/>
  <c r="D448" i="60"/>
  <c r="F447" i="60"/>
  <c r="H446" i="60"/>
  <c r="D446" i="60"/>
  <c r="F445" i="60"/>
  <c r="H444" i="60"/>
  <c r="D444" i="60"/>
  <c r="F443" i="60"/>
  <c r="H442" i="60"/>
  <c r="D442" i="60"/>
  <c r="F441" i="60"/>
  <c r="H440" i="60"/>
  <c r="D440" i="60"/>
  <c r="F439" i="60"/>
  <c r="H438" i="60"/>
  <c r="D438" i="60"/>
  <c r="F437" i="60"/>
  <c r="H436" i="60"/>
  <c r="D436" i="60"/>
  <c r="F435" i="60"/>
  <c r="H434" i="60"/>
  <c r="D434" i="60"/>
  <c r="F433" i="60"/>
  <c r="H432" i="60"/>
  <c r="D432" i="60"/>
  <c r="F431" i="60"/>
  <c r="G386" i="60"/>
  <c r="E385" i="60"/>
  <c r="G384" i="60"/>
  <c r="F386" i="60"/>
  <c r="H385" i="60"/>
  <c r="D385" i="60"/>
  <c r="F384" i="60"/>
  <c r="E386" i="60"/>
  <c r="G385" i="60"/>
  <c r="E384" i="60"/>
  <c r="H386" i="60"/>
  <c r="D386" i="60"/>
  <c r="F385" i="60"/>
  <c r="H384" i="60"/>
  <c r="D384" i="60"/>
  <c r="H248" i="60"/>
  <c r="D248" i="60"/>
  <c r="G247" i="60"/>
  <c r="F246" i="60"/>
  <c r="E245" i="60"/>
  <c r="H244" i="60"/>
  <c r="D244" i="60"/>
  <c r="G243" i="60"/>
  <c r="F242" i="60"/>
  <c r="E241" i="60"/>
  <c r="H240" i="60"/>
  <c r="D240" i="60"/>
  <c r="G239" i="60"/>
  <c r="F238" i="60"/>
  <c r="E237" i="60"/>
  <c r="H236" i="60"/>
  <c r="D236" i="60"/>
  <c r="G235" i="60"/>
  <c r="F234" i="60"/>
  <c r="E233" i="60"/>
  <c r="H232" i="60"/>
  <c r="D232" i="60"/>
  <c r="G231" i="60"/>
  <c r="F230" i="60"/>
  <c r="E229" i="60"/>
  <c r="H228" i="60"/>
  <c r="D228" i="60"/>
  <c r="G227" i="60"/>
  <c r="F226" i="60"/>
  <c r="E225" i="60"/>
  <c r="H224" i="60"/>
  <c r="D224" i="60"/>
  <c r="G223" i="60"/>
  <c r="F222" i="60"/>
  <c r="E221" i="60"/>
  <c r="H220" i="60"/>
  <c r="D220" i="60"/>
  <c r="G219" i="60"/>
  <c r="F218" i="60"/>
  <c r="E217" i="60"/>
  <c r="H216" i="60"/>
  <c r="D216" i="60"/>
  <c r="G215" i="60"/>
  <c r="F214" i="60"/>
  <c r="E213" i="60"/>
  <c r="H212" i="60"/>
  <c r="D212" i="60"/>
  <c r="G211" i="60"/>
  <c r="F210" i="60"/>
  <c r="E209" i="60"/>
  <c r="H208" i="60"/>
  <c r="D208" i="60"/>
  <c r="G207" i="60"/>
  <c r="G248" i="60"/>
  <c r="F247" i="60"/>
  <c r="E246" i="60"/>
  <c r="H245" i="60"/>
  <c r="D245" i="60"/>
  <c r="G244" i="60"/>
  <c r="F243" i="60"/>
  <c r="E242" i="60"/>
  <c r="H241" i="60"/>
  <c r="D241" i="60"/>
  <c r="G240" i="60"/>
  <c r="F239" i="60"/>
  <c r="E238" i="60"/>
  <c r="H237" i="60"/>
  <c r="D237" i="60"/>
  <c r="G236" i="60"/>
  <c r="F235" i="60"/>
  <c r="E234" i="60"/>
  <c r="H233" i="60"/>
  <c r="D233" i="60"/>
  <c r="G232" i="60"/>
  <c r="F231" i="60"/>
  <c r="E230" i="60"/>
  <c r="H229" i="60"/>
  <c r="D229" i="60"/>
  <c r="G228" i="60"/>
  <c r="F227" i="60"/>
  <c r="E226" i="60"/>
  <c r="H225" i="60"/>
  <c r="D225" i="60"/>
  <c r="G224" i="60"/>
  <c r="F223" i="60"/>
  <c r="E222" i="60"/>
  <c r="H221" i="60"/>
  <c r="D221" i="60"/>
  <c r="G220" i="60"/>
  <c r="F219" i="60"/>
  <c r="E218" i="60"/>
  <c r="H217" i="60"/>
  <c r="D217" i="60"/>
  <c r="G216" i="60"/>
  <c r="F215" i="60"/>
  <c r="E214" i="60"/>
  <c r="H213" i="60"/>
  <c r="D213" i="60"/>
  <c r="G212" i="60"/>
  <c r="F211" i="60"/>
  <c r="E210" i="60"/>
  <c r="H209" i="60"/>
  <c r="D209" i="60"/>
  <c r="G208" i="60"/>
  <c r="F207" i="60"/>
  <c r="F248" i="60"/>
  <c r="E247" i="60"/>
  <c r="H246" i="60"/>
  <c r="D246" i="60"/>
  <c r="G245" i="60"/>
  <c r="F244" i="60"/>
  <c r="E243" i="60"/>
  <c r="H242" i="60"/>
  <c r="D242" i="60"/>
  <c r="G241" i="60"/>
  <c r="F240" i="60"/>
  <c r="E239" i="60"/>
  <c r="H238" i="60"/>
  <c r="D238" i="60"/>
  <c r="G237" i="60"/>
  <c r="F236" i="60"/>
  <c r="E235" i="60"/>
  <c r="H234" i="60"/>
  <c r="D234" i="60"/>
  <c r="G233" i="60"/>
  <c r="F232" i="60"/>
  <c r="E231" i="60"/>
  <c r="H230" i="60"/>
  <c r="D230" i="60"/>
  <c r="G229" i="60"/>
  <c r="F228" i="60"/>
  <c r="E227" i="60"/>
  <c r="H226" i="60"/>
  <c r="D226" i="60"/>
  <c r="G225" i="60"/>
  <c r="F224" i="60"/>
  <c r="E223" i="60"/>
  <c r="H222" i="60"/>
  <c r="D222" i="60"/>
  <c r="G221" i="60"/>
  <c r="F220" i="60"/>
  <c r="E219" i="60"/>
  <c r="H218" i="60"/>
  <c r="D218" i="60"/>
  <c r="G217" i="60"/>
  <c r="F216" i="60"/>
  <c r="E215" i="60"/>
  <c r="H214" i="60"/>
  <c r="D214" i="60"/>
  <c r="G213" i="60"/>
  <c r="F212" i="60"/>
  <c r="E211" i="60"/>
  <c r="H210" i="60"/>
  <c r="D210" i="60"/>
  <c r="G209" i="60"/>
  <c r="F208" i="60"/>
  <c r="E207" i="60"/>
  <c r="E248" i="60"/>
  <c r="H247" i="60"/>
  <c r="D247" i="60"/>
  <c r="G246" i="60"/>
  <c r="F245" i="60"/>
  <c r="E244" i="60"/>
  <c r="H243" i="60"/>
  <c r="D243" i="60"/>
  <c r="G242" i="60"/>
  <c r="F241" i="60"/>
  <c r="E240" i="60"/>
  <c r="H239" i="60"/>
  <c r="D239" i="60"/>
  <c r="G238" i="60"/>
  <c r="F237" i="60"/>
  <c r="E236" i="60"/>
  <c r="H235" i="60"/>
  <c r="D235" i="60"/>
  <c r="G234" i="60"/>
  <c r="F233" i="60"/>
  <c r="E232" i="60"/>
  <c r="H231" i="60"/>
  <c r="D231" i="60"/>
  <c r="G230" i="60"/>
  <c r="F229" i="60"/>
  <c r="E228" i="60"/>
  <c r="H227" i="60"/>
  <c r="D227" i="60"/>
  <c r="G226" i="60"/>
  <c r="F225" i="60"/>
  <c r="E224" i="60"/>
  <c r="H223" i="60"/>
  <c r="D223" i="60"/>
  <c r="G222" i="60"/>
  <c r="F221" i="60"/>
  <c r="E220" i="60"/>
  <c r="H219" i="60"/>
  <c r="D219" i="60"/>
  <c r="G218" i="60"/>
  <c r="F217" i="60"/>
  <c r="E216" i="60"/>
  <c r="H215" i="60"/>
  <c r="D215" i="60"/>
  <c r="G214" i="60"/>
  <c r="F213" i="60"/>
  <c r="E212" i="60"/>
  <c r="H211" i="60"/>
  <c r="D211" i="60"/>
  <c r="G210" i="60"/>
  <c r="F209" i="60"/>
  <c r="E208" i="60"/>
  <c r="H207" i="60"/>
  <c r="D207" i="60"/>
  <c r="H290" i="60"/>
  <c r="D290" i="60"/>
  <c r="G289" i="60"/>
  <c r="F288" i="60"/>
  <c r="E287" i="60"/>
  <c r="H286" i="60"/>
  <c r="D286" i="60"/>
  <c r="G285" i="60"/>
  <c r="F284" i="60"/>
  <c r="E283" i="60"/>
  <c r="H282" i="60"/>
  <c r="D282" i="60"/>
  <c r="G281" i="60"/>
  <c r="F280" i="60"/>
  <c r="E279" i="60"/>
  <c r="H278" i="60"/>
  <c r="D278" i="60"/>
  <c r="G277" i="60"/>
  <c r="F276" i="60"/>
  <c r="E275" i="60"/>
  <c r="H274" i="60"/>
  <c r="D274" i="60"/>
  <c r="G273" i="60"/>
  <c r="F272" i="60"/>
  <c r="E271" i="60"/>
  <c r="H270" i="60"/>
  <c r="D270" i="60"/>
  <c r="G269" i="60"/>
  <c r="F268" i="60"/>
  <c r="E267" i="60"/>
  <c r="H266" i="60"/>
  <c r="D266" i="60"/>
  <c r="G265" i="60"/>
  <c r="F264" i="60"/>
  <c r="E263" i="60"/>
  <c r="H262" i="60"/>
  <c r="D262" i="60"/>
  <c r="G261" i="60"/>
  <c r="F260" i="60"/>
  <c r="E259" i="60"/>
  <c r="H258" i="60"/>
  <c r="D258" i="60"/>
  <c r="G257" i="60"/>
  <c r="F256" i="60"/>
  <c r="E255" i="60"/>
  <c r="H254" i="60"/>
  <c r="D254" i="60"/>
  <c r="G253" i="60"/>
  <c r="F252" i="60"/>
  <c r="E251" i="60"/>
  <c r="H250" i="60"/>
  <c r="D250" i="60"/>
  <c r="G249" i="60"/>
  <c r="G290" i="60"/>
  <c r="F289" i="60"/>
  <c r="E288" i="60"/>
  <c r="H287" i="60"/>
  <c r="D287" i="60"/>
  <c r="G286" i="60"/>
  <c r="F285" i="60"/>
  <c r="E284" i="60"/>
  <c r="H283" i="60"/>
  <c r="D283" i="60"/>
  <c r="G282" i="60"/>
  <c r="F281" i="60"/>
  <c r="E280" i="60"/>
  <c r="H279" i="60"/>
  <c r="D279" i="60"/>
  <c r="G278" i="60"/>
  <c r="F277" i="60"/>
  <c r="E276" i="60"/>
  <c r="H275" i="60"/>
  <c r="D275" i="60"/>
  <c r="G274" i="60"/>
  <c r="F273" i="60"/>
  <c r="E272" i="60"/>
  <c r="H271" i="60"/>
  <c r="D271" i="60"/>
  <c r="G270" i="60"/>
  <c r="F269" i="60"/>
  <c r="E268" i="60"/>
  <c r="H267" i="60"/>
  <c r="D267" i="60"/>
  <c r="G266" i="60"/>
  <c r="F265" i="60"/>
  <c r="E264" i="60"/>
  <c r="H263" i="60"/>
  <c r="D263" i="60"/>
  <c r="G262" i="60"/>
  <c r="F261" i="60"/>
  <c r="E260" i="60"/>
  <c r="H259" i="60"/>
  <c r="D259" i="60"/>
  <c r="G258" i="60"/>
  <c r="F257" i="60"/>
  <c r="E256" i="60"/>
  <c r="H255" i="60"/>
  <c r="D255" i="60"/>
  <c r="G254" i="60"/>
  <c r="F253" i="60"/>
  <c r="E252" i="60"/>
  <c r="H251" i="60"/>
  <c r="D251" i="60"/>
  <c r="G250" i="60"/>
  <c r="F249" i="60"/>
  <c r="F290" i="60"/>
  <c r="E289" i="60"/>
  <c r="H288" i="60"/>
  <c r="D288" i="60"/>
  <c r="G287" i="60"/>
  <c r="F286" i="60"/>
  <c r="E285" i="60"/>
  <c r="H284" i="60"/>
  <c r="D284" i="60"/>
  <c r="G283" i="60"/>
  <c r="F282" i="60"/>
  <c r="E281" i="60"/>
  <c r="H280" i="60"/>
  <c r="D280" i="60"/>
  <c r="G279" i="60"/>
  <c r="F278" i="60"/>
  <c r="E277" i="60"/>
  <c r="H276" i="60"/>
  <c r="D276" i="60"/>
  <c r="G275" i="60"/>
  <c r="F274" i="60"/>
  <c r="E273" i="60"/>
  <c r="H272" i="60"/>
  <c r="D272" i="60"/>
  <c r="G271" i="60"/>
  <c r="F270" i="60"/>
  <c r="E269" i="60"/>
  <c r="H268" i="60"/>
  <c r="D268" i="60"/>
  <c r="G267" i="60"/>
  <c r="F266" i="60"/>
  <c r="E265" i="60"/>
  <c r="H264" i="60"/>
  <c r="D264" i="60"/>
  <c r="G263" i="60"/>
  <c r="F262" i="60"/>
  <c r="E261" i="60"/>
  <c r="H260" i="60"/>
  <c r="D260" i="60"/>
  <c r="G259" i="60"/>
  <c r="F258" i="60"/>
  <c r="E257" i="60"/>
  <c r="H256" i="60"/>
  <c r="D256" i="60"/>
  <c r="G255" i="60"/>
  <c r="F254" i="60"/>
  <c r="E253" i="60"/>
  <c r="H252" i="60"/>
  <c r="D252" i="60"/>
  <c r="G251" i="60"/>
  <c r="F250" i="60"/>
  <c r="E249" i="60"/>
  <c r="E290" i="60"/>
  <c r="H289" i="60"/>
  <c r="D289" i="60"/>
  <c r="G288" i="60"/>
  <c r="F287" i="60"/>
  <c r="E286" i="60"/>
  <c r="H285" i="60"/>
  <c r="D285" i="60"/>
  <c r="G284" i="60"/>
  <c r="F283" i="60"/>
  <c r="E282" i="60"/>
  <c r="H281" i="60"/>
  <c r="D281" i="60"/>
  <c r="G280" i="60"/>
  <c r="F279" i="60"/>
  <c r="E278" i="60"/>
  <c r="H277" i="60"/>
  <c r="D277" i="60"/>
  <c r="G276" i="60"/>
  <c r="F275" i="60"/>
  <c r="E274" i="60"/>
  <c r="H273" i="60"/>
  <c r="D273" i="60"/>
  <c r="G272" i="60"/>
  <c r="F271" i="60"/>
  <c r="E270" i="60"/>
  <c r="H269" i="60"/>
  <c r="D269" i="60"/>
  <c r="G268" i="60"/>
  <c r="F267" i="60"/>
  <c r="E266" i="60"/>
  <c r="H265" i="60"/>
  <c r="D265" i="60"/>
  <c r="G264" i="60"/>
  <c r="F263" i="60"/>
  <c r="E262" i="60"/>
  <c r="H261" i="60"/>
  <c r="D261" i="60"/>
  <c r="G260" i="60"/>
  <c r="F259" i="60"/>
  <c r="E258" i="60"/>
  <c r="H257" i="60"/>
  <c r="D257" i="60"/>
  <c r="G256" i="60"/>
  <c r="F255" i="60"/>
  <c r="E254" i="60"/>
  <c r="H253" i="60"/>
  <c r="D253" i="60"/>
  <c r="G252" i="60"/>
  <c r="F251" i="60"/>
  <c r="E250" i="60"/>
  <c r="H249" i="60"/>
  <c r="D249" i="60"/>
  <c r="H308" i="60"/>
  <c r="D308" i="60"/>
  <c r="G307" i="60"/>
  <c r="F306" i="60"/>
  <c r="E305" i="60"/>
  <c r="H304" i="60"/>
  <c r="D304" i="60"/>
  <c r="G303" i="60"/>
  <c r="F302" i="60"/>
  <c r="E301" i="60"/>
  <c r="H300" i="60"/>
  <c r="D300" i="60"/>
  <c r="G299" i="60"/>
  <c r="F298" i="60"/>
  <c r="E297" i="60"/>
  <c r="H296" i="60"/>
  <c r="D296" i="60"/>
  <c r="G295" i="60"/>
  <c r="H294" i="60"/>
  <c r="D294" i="60"/>
  <c r="G293" i="60"/>
  <c r="F292" i="60"/>
  <c r="E291" i="60"/>
  <c r="H206" i="60"/>
  <c r="D206" i="60"/>
  <c r="G205" i="60"/>
  <c r="G308" i="60"/>
  <c r="F307" i="60"/>
  <c r="E306" i="60"/>
  <c r="H305" i="60"/>
  <c r="D305" i="60"/>
  <c r="G304" i="60"/>
  <c r="F303" i="60"/>
  <c r="E302" i="60"/>
  <c r="H301" i="60"/>
  <c r="D301" i="60"/>
  <c r="G300" i="60"/>
  <c r="F299" i="60"/>
  <c r="E298" i="60"/>
  <c r="H297" i="60"/>
  <c r="D297" i="60"/>
  <c r="G296" i="60"/>
  <c r="F295" i="60"/>
  <c r="G294" i="60"/>
  <c r="F293" i="60"/>
  <c r="E292" i="60"/>
  <c r="H291" i="60"/>
  <c r="D291" i="60"/>
  <c r="G206" i="60"/>
  <c r="F205" i="60"/>
  <c r="F308" i="60"/>
  <c r="E307" i="60"/>
  <c r="H306" i="60"/>
  <c r="D306" i="60"/>
  <c r="G305" i="60"/>
  <c r="F304" i="60"/>
  <c r="E303" i="60"/>
  <c r="H302" i="60"/>
  <c r="D302" i="60"/>
  <c r="G301" i="60"/>
  <c r="F300" i="60"/>
  <c r="E299" i="60"/>
  <c r="H298" i="60"/>
  <c r="D298" i="60"/>
  <c r="G297" i="60"/>
  <c r="F296" i="60"/>
  <c r="E295" i="60"/>
  <c r="F294" i="60"/>
  <c r="E293" i="60"/>
  <c r="H292" i="60"/>
  <c r="D292" i="60"/>
  <c r="G291" i="60"/>
  <c r="F206" i="60"/>
  <c r="E205" i="60"/>
  <c r="E308" i="60"/>
  <c r="H307" i="60"/>
  <c r="D307" i="60"/>
  <c r="G306" i="60"/>
  <c r="F305" i="60"/>
  <c r="E304" i="60"/>
  <c r="H303" i="60"/>
  <c r="D303" i="60"/>
  <c r="G302" i="60"/>
  <c r="F301" i="60"/>
  <c r="E300" i="60"/>
  <c r="H299" i="60"/>
  <c r="D299" i="60"/>
  <c r="G298" i="60"/>
  <c r="F297" i="60"/>
  <c r="E296" i="60"/>
  <c r="H295" i="60"/>
  <c r="D295" i="60"/>
  <c r="E294" i="60"/>
  <c r="H293" i="60"/>
  <c r="D293" i="60"/>
  <c r="G292" i="60"/>
  <c r="F291" i="60"/>
  <c r="E206" i="60"/>
  <c r="H205" i="60"/>
  <c r="D205" i="60"/>
  <c r="H331" i="60"/>
  <c r="D331" i="60"/>
  <c r="G330" i="60"/>
  <c r="G329" i="60"/>
  <c r="F328" i="60"/>
  <c r="E327" i="60"/>
  <c r="H326" i="60"/>
  <c r="D326" i="60"/>
  <c r="G325" i="60"/>
  <c r="F324" i="60"/>
  <c r="E323" i="60"/>
  <c r="H322" i="60"/>
  <c r="D322" i="60"/>
  <c r="G321" i="60"/>
  <c r="F320" i="60"/>
  <c r="E319" i="60"/>
  <c r="H318" i="60"/>
  <c r="D318" i="60"/>
  <c r="G317" i="60"/>
  <c r="F316" i="60"/>
  <c r="E315" i="60"/>
  <c r="H314" i="60"/>
  <c r="D314" i="60"/>
  <c r="G313" i="60"/>
  <c r="F312" i="60"/>
  <c r="E311" i="60"/>
  <c r="H310" i="60"/>
  <c r="D310" i="60"/>
  <c r="G309" i="60"/>
  <c r="G331" i="60"/>
  <c r="F330" i="60"/>
  <c r="F329" i="60"/>
  <c r="E328" i="60"/>
  <c r="H327" i="60"/>
  <c r="D327" i="60"/>
  <c r="G326" i="60"/>
  <c r="F325" i="60"/>
  <c r="E324" i="60"/>
  <c r="H323" i="60"/>
  <c r="D323" i="60"/>
  <c r="G322" i="60"/>
  <c r="F321" i="60"/>
  <c r="E320" i="60"/>
  <c r="H319" i="60"/>
  <c r="D319" i="60"/>
  <c r="G318" i="60"/>
  <c r="F317" i="60"/>
  <c r="E316" i="60"/>
  <c r="H315" i="60"/>
  <c r="D315" i="60"/>
  <c r="G314" i="60"/>
  <c r="F313" i="60"/>
  <c r="E312" i="60"/>
  <c r="H311" i="60"/>
  <c r="D311" i="60"/>
  <c r="G310" i="60"/>
  <c r="F309" i="60"/>
  <c r="F331" i="60"/>
  <c r="E330" i="60"/>
  <c r="E329" i="60"/>
  <c r="H328" i="60"/>
  <c r="D328" i="60"/>
  <c r="G327" i="60"/>
  <c r="F326" i="60"/>
  <c r="E325" i="60"/>
  <c r="H324" i="60"/>
  <c r="D324" i="60"/>
  <c r="G323" i="60"/>
  <c r="F322" i="60"/>
  <c r="E321" i="60"/>
  <c r="H320" i="60"/>
  <c r="D320" i="60"/>
  <c r="G319" i="60"/>
  <c r="F318" i="60"/>
  <c r="E317" i="60"/>
  <c r="H316" i="60"/>
  <c r="D316" i="60"/>
  <c r="G315" i="60"/>
  <c r="F314" i="60"/>
  <c r="E313" i="60"/>
  <c r="H312" i="60"/>
  <c r="D312" i="60"/>
  <c r="G311" i="60"/>
  <c r="F310" i="60"/>
  <c r="E309" i="60"/>
  <c r="E331" i="60"/>
  <c r="H330" i="60"/>
  <c r="D330" i="60"/>
  <c r="H329" i="60"/>
  <c r="D329" i="60"/>
  <c r="G328" i="60"/>
  <c r="F327" i="60"/>
  <c r="E326" i="60"/>
  <c r="H325" i="60"/>
  <c r="D325" i="60"/>
  <c r="G324" i="60"/>
  <c r="F323" i="60"/>
  <c r="E322" i="60"/>
  <c r="H321" i="60"/>
  <c r="D321" i="60"/>
  <c r="G320" i="60"/>
  <c r="F319" i="60"/>
  <c r="E318" i="60"/>
  <c r="H317" i="60"/>
  <c r="D317" i="60"/>
  <c r="G316" i="60"/>
  <c r="F315" i="60"/>
  <c r="E314" i="60"/>
  <c r="H313" i="60"/>
  <c r="D313" i="60"/>
  <c r="G312" i="60"/>
  <c r="F311" i="60"/>
  <c r="E310" i="60"/>
  <c r="H309" i="60"/>
  <c r="D309" i="60"/>
  <c r="H356" i="60"/>
  <c r="D356" i="60"/>
  <c r="G355" i="60"/>
  <c r="F354" i="60"/>
  <c r="E353" i="60"/>
  <c r="H352" i="60"/>
  <c r="D352" i="60"/>
  <c r="G351" i="60"/>
  <c r="F350" i="60"/>
  <c r="E349" i="60"/>
  <c r="H348" i="60"/>
  <c r="D348" i="60"/>
  <c r="G347" i="60"/>
  <c r="F346" i="60"/>
  <c r="E345" i="60"/>
  <c r="H344" i="60"/>
  <c r="D344" i="60"/>
  <c r="G343" i="60"/>
  <c r="F342" i="60"/>
  <c r="E341" i="60"/>
  <c r="H340" i="60"/>
  <c r="D340" i="60"/>
  <c r="G339" i="60"/>
  <c r="F338" i="60"/>
  <c r="E337" i="60"/>
  <c r="H336" i="60"/>
  <c r="D336" i="60"/>
  <c r="G335" i="60"/>
  <c r="E334" i="60"/>
  <c r="H333" i="60"/>
  <c r="D333" i="60"/>
  <c r="G332" i="60"/>
  <c r="G356" i="60"/>
  <c r="F355" i="60"/>
  <c r="E354" i="60"/>
  <c r="H353" i="60"/>
  <c r="D353" i="60"/>
  <c r="G352" i="60"/>
  <c r="F351" i="60"/>
  <c r="E350" i="60"/>
  <c r="H349" i="60"/>
  <c r="D349" i="60"/>
  <c r="G348" i="60"/>
  <c r="F347" i="60"/>
  <c r="E346" i="60"/>
  <c r="H345" i="60"/>
  <c r="D345" i="60"/>
  <c r="G344" i="60"/>
  <c r="F343" i="60"/>
  <c r="E342" i="60"/>
  <c r="H341" i="60"/>
  <c r="D341" i="60"/>
  <c r="G340" i="60"/>
  <c r="F339" i="60"/>
  <c r="E338" i="60"/>
  <c r="H337" i="60"/>
  <c r="D337" i="60"/>
  <c r="G336" i="60"/>
  <c r="F335" i="60"/>
  <c r="H334" i="60"/>
  <c r="D334" i="60"/>
  <c r="G333" i="60"/>
  <c r="F332" i="60"/>
  <c r="F356" i="60"/>
  <c r="E355" i="60"/>
  <c r="H354" i="60"/>
  <c r="D354" i="60"/>
  <c r="G353" i="60"/>
  <c r="F352" i="60"/>
  <c r="E351" i="60"/>
  <c r="H350" i="60"/>
  <c r="D350" i="60"/>
  <c r="G349" i="60"/>
  <c r="F348" i="60"/>
  <c r="E347" i="60"/>
  <c r="H346" i="60"/>
  <c r="D346" i="60"/>
  <c r="G345" i="60"/>
  <c r="F344" i="60"/>
  <c r="E343" i="60"/>
  <c r="H342" i="60"/>
  <c r="D342" i="60"/>
  <c r="G341" i="60"/>
  <c r="F340" i="60"/>
  <c r="E339" i="60"/>
  <c r="H338" i="60"/>
  <c r="D338" i="60"/>
  <c r="G337" i="60"/>
  <c r="F336" i="60"/>
  <c r="E335" i="60"/>
  <c r="G334" i="60"/>
  <c r="F333" i="60"/>
  <c r="E332" i="60"/>
  <c r="E356" i="60"/>
  <c r="H355" i="60"/>
  <c r="D355" i="60"/>
  <c r="G354" i="60"/>
  <c r="F353" i="60"/>
  <c r="E352" i="60"/>
  <c r="H351" i="60"/>
  <c r="D351" i="60"/>
  <c r="G350" i="60"/>
  <c r="F349" i="60"/>
  <c r="E348" i="60"/>
  <c r="H347" i="60"/>
  <c r="D347" i="60"/>
  <c r="G346" i="60"/>
  <c r="F345" i="60"/>
  <c r="E344" i="60"/>
  <c r="H343" i="60"/>
  <c r="D343" i="60"/>
  <c r="G342" i="60"/>
  <c r="F341" i="60"/>
  <c r="E340" i="60"/>
  <c r="H339" i="60"/>
  <c r="D339" i="60"/>
  <c r="G338" i="60"/>
  <c r="F337" i="60"/>
  <c r="E336" i="60"/>
  <c r="H335" i="60"/>
  <c r="D335" i="60"/>
  <c r="F334" i="60"/>
  <c r="E333" i="60"/>
  <c r="H332" i="60"/>
  <c r="D332" i="60"/>
  <c r="G369" i="60"/>
  <c r="F368" i="60"/>
  <c r="E367" i="60"/>
  <c r="H366" i="60"/>
  <c r="D366" i="60"/>
  <c r="G365" i="60"/>
  <c r="F364" i="60"/>
  <c r="E363" i="60"/>
  <c r="H362" i="60"/>
  <c r="D362" i="60"/>
  <c r="G361" i="60"/>
  <c r="F360" i="60"/>
  <c r="E359" i="60"/>
  <c r="H358" i="60"/>
  <c r="D358" i="60"/>
  <c r="G357" i="60"/>
  <c r="E368" i="60"/>
  <c r="H367" i="60"/>
  <c r="F365" i="60"/>
  <c r="E364" i="60"/>
  <c r="D363" i="60"/>
  <c r="G362" i="60"/>
  <c r="D359" i="60"/>
  <c r="E369" i="60"/>
  <c r="H368" i="60"/>
  <c r="F366" i="60"/>
  <c r="E365" i="60"/>
  <c r="H364" i="60"/>
  <c r="D364" i="60"/>
  <c r="H369" i="60"/>
  <c r="D369" i="60"/>
  <c r="G368" i="60"/>
  <c r="F367" i="60"/>
  <c r="E366" i="60"/>
  <c r="H365" i="60"/>
  <c r="D365" i="60"/>
  <c r="G364" i="60"/>
  <c r="F363" i="60"/>
  <c r="E362" i="60"/>
  <c r="H361" i="60"/>
  <c r="D361" i="60"/>
  <c r="G360" i="60"/>
  <c r="F359" i="60"/>
  <c r="E358" i="60"/>
  <c r="H357" i="60"/>
  <c r="D357" i="60"/>
  <c r="F369" i="60"/>
  <c r="D367" i="60"/>
  <c r="G366" i="60"/>
  <c r="H363" i="60"/>
  <c r="F361" i="60"/>
  <c r="E360" i="60"/>
  <c r="H359" i="60"/>
  <c r="G358" i="60"/>
  <c r="F357" i="60"/>
  <c r="D368" i="60"/>
  <c r="G367" i="60"/>
  <c r="H360" i="60"/>
  <c r="E357" i="60"/>
  <c r="G363" i="60"/>
  <c r="F358" i="60"/>
  <c r="E361" i="60"/>
  <c r="F362" i="60"/>
  <c r="G359" i="60"/>
  <c r="D360" i="60"/>
  <c r="H106" i="60"/>
  <c r="D106" i="60"/>
  <c r="G105" i="60"/>
  <c r="F104" i="60"/>
  <c r="E103" i="60"/>
  <c r="H102" i="60"/>
  <c r="D102" i="60"/>
  <c r="G101" i="60"/>
  <c r="F100" i="60"/>
  <c r="E99" i="60"/>
  <c r="H98" i="60"/>
  <c r="D98" i="60"/>
  <c r="G97" i="60"/>
  <c r="F96" i="60"/>
  <c r="E95" i="60"/>
  <c r="H94" i="60"/>
  <c r="D94" i="60"/>
  <c r="G93" i="60"/>
  <c r="F92" i="60"/>
  <c r="E91" i="60"/>
  <c r="H90" i="60"/>
  <c r="D90" i="60"/>
  <c r="G89" i="60"/>
  <c r="F88" i="60"/>
  <c r="E87" i="60"/>
  <c r="H86" i="60"/>
  <c r="D86" i="60"/>
  <c r="G85" i="60"/>
  <c r="F84" i="60"/>
  <c r="E83" i="60"/>
  <c r="H82" i="60"/>
  <c r="D82" i="60"/>
  <c r="G81" i="60"/>
  <c r="F80" i="60"/>
  <c r="E79" i="60"/>
  <c r="H78" i="60"/>
  <c r="D78" i="60"/>
  <c r="G77" i="60"/>
  <c r="G106" i="60"/>
  <c r="F105" i="60"/>
  <c r="E104" i="60"/>
  <c r="H103" i="60"/>
  <c r="D103" i="60"/>
  <c r="G102" i="60"/>
  <c r="F101" i="60"/>
  <c r="E100" i="60"/>
  <c r="H99" i="60"/>
  <c r="D99" i="60"/>
  <c r="G98" i="60"/>
  <c r="F97" i="60"/>
  <c r="E96" i="60"/>
  <c r="H95" i="60"/>
  <c r="D95" i="60"/>
  <c r="G94" i="60"/>
  <c r="F93" i="60"/>
  <c r="E92" i="60"/>
  <c r="H91" i="60"/>
  <c r="D91" i="60"/>
  <c r="G90" i="60"/>
  <c r="F89" i="60"/>
  <c r="E88" i="60"/>
  <c r="H87" i="60"/>
  <c r="D87" i="60"/>
  <c r="G86" i="60"/>
  <c r="F85" i="60"/>
  <c r="E84" i="60"/>
  <c r="H83" i="60"/>
  <c r="D83" i="60"/>
  <c r="G82" i="60"/>
  <c r="F81" i="60"/>
  <c r="E80" i="60"/>
  <c r="H79" i="60"/>
  <c r="D79" i="60"/>
  <c r="G78" i="60"/>
  <c r="F77" i="60"/>
  <c r="F106" i="60"/>
  <c r="E105" i="60"/>
  <c r="H104" i="60"/>
  <c r="D104" i="60"/>
  <c r="G103" i="60"/>
  <c r="F102" i="60"/>
  <c r="E101" i="60"/>
  <c r="H100" i="60"/>
  <c r="D100" i="60"/>
  <c r="G99" i="60"/>
  <c r="F98" i="60"/>
  <c r="E97" i="60"/>
  <c r="H96" i="60"/>
  <c r="D96" i="60"/>
  <c r="G95" i="60"/>
  <c r="F94" i="60"/>
  <c r="E93" i="60"/>
  <c r="H92" i="60"/>
  <c r="D92" i="60"/>
  <c r="G91" i="60"/>
  <c r="F90" i="60"/>
  <c r="E89" i="60"/>
  <c r="H88" i="60"/>
  <c r="D88" i="60"/>
  <c r="G87" i="60"/>
  <c r="F86" i="60"/>
  <c r="E85" i="60"/>
  <c r="H84" i="60"/>
  <c r="D84" i="60"/>
  <c r="G83" i="60"/>
  <c r="F82" i="60"/>
  <c r="E81" i="60"/>
  <c r="H80" i="60"/>
  <c r="D80" i="60"/>
  <c r="G79" i="60"/>
  <c r="F78" i="60"/>
  <c r="E77" i="60"/>
  <c r="E106" i="60"/>
  <c r="H105" i="60"/>
  <c r="D105" i="60"/>
  <c r="G104" i="60"/>
  <c r="F103" i="60"/>
  <c r="E102" i="60"/>
  <c r="H101" i="60"/>
  <c r="D101" i="60"/>
  <c r="G100" i="60"/>
  <c r="F99" i="60"/>
  <c r="E98" i="60"/>
  <c r="H97" i="60"/>
  <c r="D97" i="60"/>
  <c r="G96" i="60"/>
  <c r="F95" i="60"/>
  <c r="E94" i="60"/>
  <c r="H93" i="60"/>
  <c r="D93" i="60"/>
  <c r="G92" i="60"/>
  <c r="F91" i="60"/>
  <c r="E90" i="60"/>
  <c r="H89" i="60"/>
  <c r="D89" i="60"/>
  <c r="G88" i="60"/>
  <c r="F87" i="60"/>
  <c r="E86" i="60"/>
  <c r="H85" i="60"/>
  <c r="D85" i="60"/>
  <c r="G84" i="60"/>
  <c r="F83" i="60"/>
  <c r="E82" i="60"/>
  <c r="H81" i="60"/>
  <c r="D81" i="60"/>
  <c r="G80" i="60"/>
  <c r="F79" i="60"/>
  <c r="E78" i="60"/>
  <c r="H77" i="60"/>
  <c r="D77" i="60"/>
  <c r="H136" i="60"/>
  <c r="D136" i="60"/>
  <c r="G135" i="60"/>
  <c r="F134" i="60"/>
  <c r="E133" i="60"/>
  <c r="H132" i="60"/>
  <c r="D132" i="60"/>
  <c r="G131" i="60"/>
  <c r="F130" i="60"/>
  <c r="E129" i="60"/>
  <c r="H128" i="60"/>
  <c r="D128" i="60"/>
  <c r="G127" i="60"/>
  <c r="F126" i="60"/>
  <c r="E125" i="60"/>
  <c r="H124" i="60"/>
  <c r="D124" i="60"/>
  <c r="G123" i="60"/>
  <c r="F122" i="60"/>
  <c r="E121" i="60"/>
  <c r="H120" i="60"/>
  <c r="D120" i="60"/>
  <c r="G119" i="60"/>
  <c r="F118" i="60"/>
  <c r="E117" i="60"/>
  <c r="H116" i="60"/>
  <c r="D116" i="60"/>
  <c r="G115" i="60"/>
  <c r="F114" i="60"/>
  <c r="E113" i="60"/>
  <c r="H112" i="60"/>
  <c r="D112" i="60"/>
  <c r="G111" i="60"/>
  <c r="F110" i="60"/>
  <c r="E109" i="60"/>
  <c r="H108" i="60"/>
  <c r="D108" i="60"/>
  <c r="G107" i="60"/>
  <c r="G136" i="60"/>
  <c r="F135" i="60"/>
  <c r="E134" i="60"/>
  <c r="H133" i="60"/>
  <c r="D133" i="60"/>
  <c r="G132" i="60"/>
  <c r="F131" i="60"/>
  <c r="E130" i="60"/>
  <c r="H129" i="60"/>
  <c r="D129" i="60"/>
  <c r="G128" i="60"/>
  <c r="F127" i="60"/>
  <c r="E126" i="60"/>
  <c r="H125" i="60"/>
  <c r="D125" i="60"/>
  <c r="G124" i="60"/>
  <c r="F123" i="60"/>
  <c r="E122" i="60"/>
  <c r="H121" i="60"/>
  <c r="D121" i="60"/>
  <c r="G120" i="60"/>
  <c r="F119" i="60"/>
  <c r="E118" i="60"/>
  <c r="H117" i="60"/>
  <c r="D117" i="60"/>
  <c r="G116" i="60"/>
  <c r="F115" i="60"/>
  <c r="E114" i="60"/>
  <c r="H113" i="60"/>
  <c r="D113" i="60"/>
  <c r="G112" i="60"/>
  <c r="F111" i="60"/>
  <c r="E110" i="60"/>
  <c r="H109" i="60"/>
  <c r="D109" i="60"/>
  <c r="G108" i="60"/>
  <c r="F107" i="60"/>
  <c r="F136" i="60"/>
  <c r="E135" i="60"/>
  <c r="H134" i="60"/>
  <c r="D134" i="60"/>
  <c r="G133" i="60"/>
  <c r="F132" i="60"/>
  <c r="E131" i="60"/>
  <c r="H130" i="60"/>
  <c r="D130" i="60"/>
  <c r="G129" i="60"/>
  <c r="F128" i="60"/>
  <c r="E127" i="60"/>
  <c r="H126" i="60"/>
  <c r="D126" i="60"/>
  <c r="G125" i="60"/>
  <c r="F124" i="60"/>
  <c r="E123" i="60"/>
  <c r="H122" i="60"/>
  <c r="D122" i="60"/>
  <c r="G121" i="60"/>
  <c r="F120" i="60"/>
  <c r="E119" i="60"/>
  <c r="H118" i="60"/>
  <c r="D118" i="60"/>
  <c r="G117" i="60"/>
  <c r="F116" i="60"/>
  <c r="E115" i="60"/>
  <c r="H114" i="60"/>
  <c r="D114" i="60"/>
  <c r="G113" i="60"/>
  <c r="F112" i="60"/>
  <c r="E111" i="60"/>
  <c r="H110" i="60"/>
  <c r="D110" i="60"/>
  <c r="G109" i="60"/>
  <c r="F108" i="60"/>
  <c r="E107" i="60"/>
  <c r="E136" i="60"/>
  <c r="H135" i="60"/>
  <c r="D135" i="60"/>
  <c r="G134" i="60"/>
  <c r="F133" i="60"/>
  <c r="E132" i="60"/>
  <c r="H131" i="60"/>
  <c r="D131" i="60"/>
  <c r="G130" i="60"/>
  <c r="F129" i="60"/>
  <c r="E128" i="60"/>
  <c r="H127" i="60"/>
  <c r="D127" i="60"/>
  <c r="G126" i="60"/>
  <c r="F125" i="60"/>
  <c r="E124" i="60"/>
  <c r="H123" i="60"/>
  <c r="D123" i="60"/>
  <c r="G122" i="60"/>
  <c r="F121" i="60"/>
  <c r="E120" i="60"/>
  <c r="H119" i="60"/>
  <c r="D119" i="60"/>
  <c r="G118" i="60"/>
  <c r="F117" i="60"/>
  <c r="E116" i="60"/>
  <c r="H115" i="60"/>
  <c r="D115" i="60"/>
  <c r="G114" i="60"/>
  <c r="F113" i="60"/>
  <c r="E112" i="60"/>
  <c r="H111" i="60"/>
  <c r="D111" i="60"/>
  <c r="G110" i="60"/>
  <c r="F109" i="60"/>
  <c r="E108" i="60"/>
  <c r="H107" i="60"/>
  <c r="D107" i="60"/>
  <c r="H166" i="60"/>
  <c r="D166" i="60"/>
  <c r="G165" i="60"/>
  <c r="F164" i="60"/>
  <c r="E163" i="60"/>
  <c r="H162" i="60"/>
  <c r="D162" i="60"/>
  <c r="G161" i="60"/>
  <c r="F160" i="60"/>
  <c r="E159" i="60"/>
  <c r="H158" i="60"/>
  <c r="D158" i="60"/>
  <c r="G157" i="60"/>
  <c r="F156" i="60"/>
  <c r="E155" i="60"/>
  <c r="H154" i="60"/>
  <c r="D154" i="60"/>
  <c r="G153" i="60"/>
  <c r="F152" i="60"/>
  <c r="E151" i="60"/>
  <c r="H150" i="60"/>
  <c r="D150" i="60"/>
  <c r="G149" i="60"/>
  <c r="F148" i="60"/>
  <c r="E147" i="60"/>
  <c r="H146" i="60"/>
  <c r="D146" i="60"/>
  <c r="G145" i="60"/>
  <c r="F144" i="60"/>
  <c r="E143" i="60"/>
  <c r="H142" i="60"/>
  <c r="D142" i="60"/>
  <c r="G141" i="60"/>
  <c r="F140" i="60"/>
  <c r="E139" i="60"/>
  <c r="H138" i="60"/>
  <c r="D138" i="60"/>
  <c r="G137" i="60"/>
  <c r="G166" i="60"/>
  <c r="F165" i="60"/>
  <c r="E164" i="60"/>
  <c r="H163" i="60"/>
  <c r="D163" i="60"/>
  <c r="G162" i="60"/>
  <c r="F161" i="60"/>
  <c r="E160" i="60"/>
  <c r="H159" i="60"/>
  <c r="D159" i="60"/>
  <c r="G158" i="60"/>
  <c r="F157" i="60"/>
  <c r="E156" i="60"/>
  <c r="H155" i="60"/>
  <c r="D155" i="60"/>
  <c r="G154" i="60"/>
  <c r="F153" i="60"/>
  <c r="E152" i="60"/>
  <c r="H151" i="60"/>
  <c r="D151" i="60"/>
  <c r="G150" i="60"/>
  <c r="F149" i="60"/>
  <c r="E148" i="60"/>
  <c r="H147" i="60"/>
  <c r="D147" i="60"/>
  <c r="G146" i="60"/>
  <c r="F145" i="60"/>
  <c r="E144" i="60"/>
  <c r="H143" i="60"/>
  <c r="D143" i="60"/>
  <c r="G142" i="60"/>
  <c r="F141" i="60"/>
  <c r="E140" i="60"/>
  <c r="H139" i="60"/>
  <c r="D139" i="60"/>
  <c r="G138" i="60"/>
  <c r="F137" i="60"/>
  <c r="F166" i="60"/>
  <c r="E165" i="60"/>
  <c r="H164" i="60"/>
  <c r="D164" i="60"/>
  <c r="G163" i="60"/>
  <c r="F162" i="60"/>
  <c r="E161" i="60"/>
  <c r="H160" i="60"/>
  <c r="D160" i="60"/>
  <c r="G159" i="60"/>
  <c r="F158" i="60"/>
  <c r="E157" i="60"/>
  <c r="H156" i="60"/>
  <c r="D156" i="60"/>
  <c r="G155" i="60"/>
  <c r="F154" i="60"/>
  <c r="E153" i="60"/>
  <c r="H152" i="60"/>
  <c r="D152" i="60"/>
  <c r="G151" i="60"/>
  <c r="F150" i="60"/>
  <c r="E149" i="60"/>
  <c r="H148" i="60"/>
  <c r="D148" i="60"/>
  <c r="G147" i="60"/>
  <c r="F146" i="60"/>
  <c r="E145" i="60"/>
  <c r="H144" i="60"/>
  <c r="D144" i="60"/>
  <c r="G143" i="60"/>
  <c r="F142" i="60"/>
  <c r="E141" i="60"/>
  <c r="H140" i="60"/>
  <c r="D140" i="60"/>
  <c r="G139" i="60"/>
  <c r="F138" i="60"/>
  <c r="E137" i="60"/>
  <c r="E166" i="60"/>
  <c r="H165" i="60"/>
  <c r="D165" i="60"/>
  <c r="G164" i="60"/>
  <c r="F163" i="60"/>
  <c r="E162" i="60"/>
  <c r="H161" i="60"/>
  <c r="D161" i="60"/>
  <c r="G160" i="60"/>
  <c r="F159" i="60"/>
  <c r="E158" i="60"/>
  <c r="H157" i="60"/>
  <c r="D157" i="60"/>
  <c r="G156" i="60"/>
  <c r="F155" i="60"/>
  <c r="E154" i="60"/>
  <c r="H153" i="60"/>
  <c r="D153" i="60"/>
  <c r="G152" i="60"/>
  <c r="F151" i="60"/>
  <c r="E150" i="60"/>
  <c r="H149" i="60"/>
  <c r="D149" i="60"/>
  <c r="G148" i="60"/>
  <c r="F147" i="60"/>
  <c r="E146" i="60"/>
  <c r="H145" i="60"/>
  <c r="D145" i="60"/>
  <c r="G144" i="60"/>
  <c r="F143" i="60"/>
  <c r="E142" i="60"/>
  <c r="H141" i="60"/>
  <c r="D141" i="60"/>
  <c r="G140" i="60"/>
  <c r="F139" i="60"/>
  <c r="E138" i="60"/>
  <c r="H137" i="60"/>
  <c r="D137" i="60"/>
  <c r="H35" i="60"/>
  <c r="D35" i="60"/>
  <c r="G34" i="60"/>
  <c r="F33" i="60"/>
  <c r="E32" i="60"/>
  <c r="H31" i="60"/>
  <c r="D31" i="60"/>
  <c r="G30" i="60"/>
  <c r="F29" i="60"/>
  <c r="E28" i="60"/>
  <c r="H27" i="60"/>
  <c r="D27" i="60"/>
  <c r="G26" i="60"/>
  <c r="F25" i="60"/>
  <c r="E24" i="60"/>
  <c r="H23" i="60"/>
  <c r="D23" i="60"/>
  <c r="G22" i="60"/>
  <c r="F21" i="60"/>
  <c r="E20" i="60"/>
  <c r="H19" i="60"/>
  <c r="D19" i="60"/>
  <c r="G18" i="60"/>
  <c r="F17" i="60"/>
  <c r="E16" i="60"/>
  <c r="H15" i="60"/>
  <c r="D15" i="60"/>
  <c r="G14" i="60"/>
  <c r="F13" i="60"/>
  <c r="E12" i="60"/>
  <c r="G35" i="60"/>
  <c r="F34" i="60"/>
  <c r="E33" i="60"/>
  <c r="H32" i="60"/>
  <c r="D32" i="60"/>
  <c r="G31" i="60"/>
  <c r="F30" i="60"/>
  <c r="E29" i="60"/>
  <c r="H28" i="60"/>
  <c r="D28" i="60"/>
  <c r="G27" i="60"/>
  <c r="F26" i="60"/>
  <c r="E25" i="60"/>
  <c r="H24" i="60"/>
  <c r="D24" i="60"/>
  <c r="G23" i="60"/>
  <c r="F22" i="60"/>
  <c r="E21" i="60"/>
  <c r="H20" i="60"/>
  <c r="D20" i="60"/>
  <c r="G19" i="60"/>
  <c r="F18" i="60"/>
  <c r="E17" i="60"/>
  <c r="H16" i="60"/>
  <c r="D16" i="60"/>
  <c r="G15" i="60"/>
  <c r="F14" i="60"/>
  <c r="E13" i="60"/>
  <c r="H12" i="60"/>
  <c r="D12" i="60"/>
  <c r="F35" i="60"/>
  <c r="E34" i="60"/>
  <c r="H33" i="60"/>
  <c r="D33" i="60"/>
  <c r="G32" i="60"/>
  <c r="F31" i="60"/>
  <c r="E30" i="60"/>
  <c r="H29" i="60"/>
  <c r="D29" i="60"/>
  <c r="G28" i="60"/>
  <c r="F27" i="60"/>
  <c r="E26" i="60"/>
  <c r="H25" i="60"/>
  <c r="D25" i="60"/>
  <c r="G24" i="60"/>
  <c r="F23" i="60"/>
  <c r="E22" i="60"/>
  <c r="H21" i="60"/>
  <c r="D21" i="60"/>
  <c r="G20" i="60"/>
  <c r="F19" i="60"/>
  <c r="E18" i="60"/>
  <c r="H17" i="60"/>
  <c r="D17" i="60"/>
  <c r="G16" i="60"/>
  <c r="F15" i="60"/>
  <c r="E14" i="60"/>
  <c r="H13" i="60"/>
  <c r="D13" i="60"/>
  <c r="G12" i="60"/>
  <c r="E35" i="60"/>
  <c r="H34" i="60"/>
  <c r="D34" i="60"/>
  <c r="G33" i="60"/>
  <c r="F32" i="60"/>
  <c r="E31" i="60"/>
  <c r="H30" i="60"/>
  <c r="D30" i="60"/>
  <c r="G29" i="60"/>
  <c r="F28" i="60"/>
  <c r="E27" i="60"/>
  <c r="H26" i="60"/>
  <c r="D26" i="60"/>
  <c r="G25" i="60"/>
  <c r="F24" i="60"/>
  <c r="E23" i="60"/>
  <c r="H22" i="60"/>
  <c r="D22" i="60"/>
  <c r="G21" i="60"/>
  <c r="F20" i="60"/>
  <c r="E19" i="60"/>
  <c r="H18" i="60"/>
  <c r="D18" i="60"/>
  <c r="G17" i="60"/>
  <c r="F16" i="60"/>
  <c r="E15" i="60"/>
  <c r="H14" i="60"/>
  <c r="D14" i="60"/>
  <c r="G13" i="60"/>
  <c r="F12" i="60"/>
  <c r="H59" i="60"/>
  <c r="D59" i="60"/>
  <c r="G58" i="60"/>
  <c r="F57" i="60"/>
  <c r="E56" i="60"/>
  <c r="H55" i="60"/>
  <c r="D55" i="60"/>
  <c r="G54" i="60"/>
  <c r="F53" i="60"/>
  <c r="E52" i="60"/>
  <c r="H51" i="60"/>
  <c r="D51" i="60"/>
  <c r="G50" i="60"/>
  <c r="F49" i="60"/>
  <c r="E48" i="60"/>
  <c r="H47" i="60"/>
  <c r="D47" i="60"/>
  <c r="G46" i="60"/>
  <c r="F45" i="60"/>
  <c r="E44" i="60"/>
  <c r="H43" i="60"/>
  <c r="D43" i="60"/>
  <c r="G42" i="60"/>
  <c r="F41" i="60"/>
  <c r="E40" i="60"/>
  <c r="H39" i="60"/>
  <c r="D39" i="60"/>
  <c r="G38" i="60"/>
  <c r="F37" i="60"/>
  <c r="E36" i="60"/>
  <c r="G59" i="60"/>
  <c r="F58" i="60"/>
  <c r="E57" i="60"/>
  <c r="H56" i="60"/>
  <c r="D56" i="60"/>
  <c r="G55" i="60"/>
  <c r="F54" i="60"/>
  <c r="E53" i="60"/>
  <c r="H52" i="60"/>
  <c r="D52" i="60"/>
  <c r="G51" i="60"/>
  <c r="F50" i="60"/>
  <c r="E49" i="60"/>
  <c r="H48" i="60"/>
  <c r="D48" i="60"/>
  <c r="G47" i="60"/>
  <c r="F46" i="60"/>
  <c r="E45" i="60"/>
  <c r="H44" i="60"/>
  <c r="D44" i="60"/>
  <c r="G43" i="60"/>
  <c r="F42" i="60"/>
  <c r="E41" i="60"/>
  <c r="H40" i="60"/>
  <c r="D40" i="60"/>
  <c r="G39" i="60"/>
  <c r="F38" i="60"/>
  <c r="E37" i="60"/>
  <c r="H36" i="60"/>
  <c r="D36" i="60"/>
  <c r="F59" i="60"/>
  <c r="E58" i="60"/>
  <c r="H57" i="60"/>
  <c r="D57" i="60"/>
  <c r="G56" i="60"/>
  <c r="F55" i="60"/>
  <c r="E54" i="60"/>
  <c r="H53" i="60"/>
  <c r="D53" i="60"/>
  <c r="G52" i="60"/>
  <c r="F51" i="60"/>
  <c r="E50" i="60"/>
  <c r="H49" i="60"/>
  <c r="D49" i="60"/>
  <c r="G48" i="60"/>
  <c r="F47" i="60"/>
  <c r="E46" i="60"/>
  <c r="H45" i="60"/>
  <c r="D45" i="60"/>
  <c r="G44" i="60"/>
  <c r="F43" i="60"/>
  <c r="E42" i="60"/>
  <c r="H41" i="60"/>
  <c r="D41" i="60"/>
  <c r="G40" i="60"/>
  <c r="F39" i="60"/>
  <c r="E38" i="60"/>
  <c r="H37" i="60"/>
  <c r="D37" i="60"/>
  <c r="G36" i="60"/>
  <c r="E59" i="60"/>
  <c r="H58" i="60"/>
  <c r="D58" i="60"/>
  <c r="G57" i="60"/>
  <c r="F56" i="60"/>
  <c r="E55" i="60"/>
  <c r="H54" i="60"/>
  <c r="D54" i="60"/>
  <c r="G53" i="60"/>
  <c r="F52" i="60"/>
  <c r="E51" i="60"/>
  <c r="H50" i="60"/>
  <c r="D50" i="60"/>
  <c r="G49" i="60"/>
  <c r="F48" i="60"/>
  <c r="E47" i="60"/>
  <c r="H46" i="60"/>
  <c r="D46" i="60"/>
  <c r="G45" i="60"/>
  <c r="F44" i="60"/>
  <c r="E43" i="60"/>
  <c r="H42" i="60"/>
  <c r="D42" i="60"/>
  <c r="G41" i="60"/>
  <c r="F40" i="60"/>
  <c r="E39" i="60"/>
  <c r="H38" i="60"/>
  <c r="D38" i="60"/>
  <c r="G37" i="60"/>
  <c r="F36" i="60"/>
  <c r="H173" i="60"/>
  <c r="D173" i="60"/>
  <c r="G172" i="60"/>
  <c r="F171" i="60"/>
  <c r="E170" i="60"/>
  <c r="H169" i="60"/>
  <c r="D169" i="60"/>
  <c r="G168" i="60"/>
  <c r="F167" i="60"/>
  <c r="E76" i="60"/>
  <c r="H75" i="60"/>
  <c r="D75" i="60"/>
  <c r="G74" i="60"/>
  <c r="F73" i="60"/>
  <c r="E72" i="60"/>
  <c r="H71" i="60"/>
  <c r="D71" i="60"/>
  <c r="G70" i="60"/>
  <c r="F69" i="60"/>
  <c r="E68" i="60"/>
  <c r="H67" i="60"/>
  <c r="D67" i="60"/>
  <c r="G66" i="60"/>
  <c r="F65" i="60"/>
  <c r="E64" i="60"/>
  <c r="H63" i="60"/>
  <c r="D63" i="60"/>
  <c r="G62" i="60"/>
  <c r="F61" i="60"/>
  <c r="E60" i="60"/>
  <c r="H76" i="60"/>
  <c r="D72" i="60"/>
  <c r="G71" i="60"/>
  <c r="F70" i="60"/>
  <c r="E69" i="60"/>
  <c r="D68" i="60"/>
  <c r="G67" i="60"/>
  <c r="F66" i="60"/>
  <c r="E65" i="60"/>
  <c r="E61" i="60"/>
  <c r="H60" i="60"/>
  <c r="D60" i="60"/>
  <c r="D70" i="60"/>
  <c r="G69" i="60"/>
  <c r="E67" i="60"/>
  <c r="D66" i="60"/>
  <c r="F64" i="60"/>
  <c r="H62" i="60"/>
  <c r="F60" i="60"/>
  <c r="G173" i="60"/>
  <c r="F172" i="60"/>
  <c r="E171" i="60"/>
  <c r="H170" i="60"/>
  <c r="D170" i="60"/>
  <c r="G169" i="60"/>
  <c r="F168" i="60"/>
  <c r="E167" i="60"/>
  <c r="D76" i="60"/>
  <c r="G75" i="60"/>
  <c r="F74" i="60"/>
  <c r="E73" i="60"/>
  <c r="H72" i="60"/>
  <c r="H68" i="60"/>
  <c r="H64" i="60"/>
  <c r="D64" i="60"/>
  <c r="G63" i="60"/>
  <c r="F62" i="60"/>
  <c r="F72" i="60"/>
  <c r="G61" i="60"/>
  <c r="F173" i="60"/>
  <c r="E172" i="60"/>
  <c r="H171" i="60"/>
  <c r="D171" i="60"/>
  <c r="G170" i="60"/>
  <c r="F169" i="60"/>
  <c r="E168" i="60"/>
  <c r="H167" i="60"/>
  <c r="D167" i="60"/>
  <c r="G76" i="60"/>
  <c r="F75" i="60"/>
  <c r="E74" i="60"/>
  <c r="H73" i="60"/>
  <c r="D73" i="60"/>
  <c r="G72" i="60"/>
  <c r="F71" i="60"/>
  <c r="E70" i="60"/>
  <c r="H69" i="60"/>
  <c r="D69" i="60"/>
  <c r="G68" i="60"/>
  <c r="F67" i="60"/>
  <c r="E66" i="60"/>
  <c r="H65" i="60"/>
  <c r="D65" i="60"/>
  <c r="G64" i="60"/>
  <c r="F63" i="60"/>
  <c r="E62" i="60"/>
  <c r="H61" i="60"/>
  <c r="D61" i="60"/>
  <c r="G60" i="60"/>
  <c r="E173" i="60"/>
  <c r="H172" i="60"/>
  <c r="D172" i="60"/>
  <c r="G171" i="60"/>
  <c r="F170" i="60"/>
  <c r="E169" i="60"/>
  <c r="H168" i="60"/>
  <c r="D168" i="60"/>
  <c r="G167" i="60"/>
  <c r="F76" i="60"/>
  <c r="E75" i="60"/>
  <c r="H74" i="60"/>
  <c r="D74" i="60"/>
  <c r="G73" i="60"/>
  <c r="E71" i="60"/>
  <c r="H70" i="60"/>
  <c r="F68" i="60"/>
  <c r="H66" i="60"/>
  <c r="G65" i="60"/>
  <c r="E63" i="60"/>
  <c r="D62" i="60"/>
  <c r="H185" i="60"/>
  <c r="D185" i="60"/>
  <c r="G184" i="60"/>
  <c r="F183" i="60"/>
  <c r="E182" i="60"/>
  <c r="H181" i="60"/>
  <c r="D181" i="60"/>
  <c r="G180" i="60"/>
  <c r="F179" i="60"/>
  <c r="E178" i="60"/>
  <c r="H177" i="60"/>
  <c r="D177" i="60"/>
  <c r="G176" i="60"/>
  <c r="F175" i="60"/>
  <c r="E174" i="60"/>
  <c r="D174" i="60"/>
  <c r="G185" i="60"/>
  <c r="F184" i="60"/>
  <c r="E183" i="60"/>
  <c r="H182" i="60"/>
  <c r="D182" i="60"/>
  <c r="G181" i="60"/>
  <c r="F180" i="60"/>
  <c r="E179" i="60"/>
  <c r="H178" i="60"/>
  <c r="D178" i="60"/>
  <c r="G177" i="60"/>
  <c r="F176" i="60"/>
  <c r="E175" i="60"/>
  <c r="H174" i="60"/>
  <c r="F185" i="60"/>
  <c r="E184" i="60"/>
  <c r="H183" i="60"/>
  <c r="D183" i="60"/>
  <c r="G182" i="60"/>
  <c r="F181" i="60"/>
  <c r="E180" i="60"/>
  <c r="H179" i="60"/>
  <c r="D179" i="60"/>
  <c r="G178" i="60"/>
  <c r="F177" i="60"/>
  <c r="E176" i="60"/>
  <c r="H175" i="60"/>
  <c r="D175" i="60"/>
  <c r="E185" i="60"/>
  <c r="H184" i="60"/>
  <c r="D184" i="60"/>
  <c r="G183" i="60"/>
  <c r="F182" i="60"/>
  <c r="E181" i="60"/>
  <c r="H180" i="60"/>
  <c r="D180" i="60"/>
  <c r="G179" i="60"/>
  <c r="F178" i="60"/>
  <c r="E177" i="60"/>
  <c r="H176" i="60"/>
  <c r="D176" i="60"/>
  <c r="G175" i="60"/>
  <c r="F174" i="60"/>
  <c r="G174" i="60"/>
  <c r="G16" i="55"/>
  <c r="I16" i="55"/>
  <c r="A12" i="56"/>
  <c r="H35" i="56"/>
  <c r="F35" i="56"/>
  <c r="F34" i="56"/>
  <c r="H199" i="60"/>
  <c r="F462" i="60"/>
  <c r="E463" i="60"/>
  <c r="H463" i="60"/>
  <c r="D460" i="60"/>
  <c r="G460" i="60"/>
  <c r="D461" i="60"/>
  <c r="G461" i="60"/>
  <c r="F463" i="60"/>
  <c r="E460" i="60"/>
  <c r="H460" i="60"/>
  <c r="E461" i="60"/>
  <c r="H461" i="60"/>
  <c r="D462" i="60"/>
  <c r="G462" i="60"/>
  <c r="F460" i="60"/>
  <c r="F461" i="60"/>
  <c r="E462" i="60"/>
  <c r="H462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H7" i="60"/>
  <c r="E8" i="60"/>
  <c r="H8" i="60"/>
  <c r="E9" i="60"/>
  <c r="H9" i="60"/>
  <c r="E10" i="60"/>
  <c r="H10" i="60"/>
  <c r="E11" i="60"/>
  <c r="H11" i="60"/>
  <c r="E186" i="60"/>
  <c r="H186" i="60"/>
  <c r="E187" i="60"/>
  <c r="H187" i="60"/>
  <c r="E188" i="60"/>
  <c r="H188" i="60"/>
  <c r="E189" i="60"/>
  <c r="H189" i="60"/>
  <c r="E190" i="60"/>
  <c r="H190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343" i="55"/>
  <c r="G383" i="60"/>
  <c r="F383" i="60"/>
  <c r="D383" i="60"/>
  <c r="H383" i="60"/>
  <c r="E383" i="60"/>
  <c r="F201" i="60"/>
  <c r="D202" i="60"/>
  <c r="G202" i="60"/>
  <c r="F203" i="60"/>
  <c r="D204" i="60"/>
  <c r="G204" i="60"/>
  <c r="F199" i="60"/>
  <c r="D200" i="60"/>
  <c r="G200" i="60"/>
  <c r="E202" i="60"/>
  <c r="H202" i="60"/>
  <c r="E204" i="60"/>
  <c r="H204" i="60"/>
  <c r="E200" i="60"/>
  <c r="H200" i="60"/>
  <c r="D201" i="60"/>
  <c r="G201" i="60"/>
  <c r="F202" i="60"/>
  <c r="D203" i="60"/>
  <c r="G203" i="60"/>
  <c r="F204" i="60"/>
  <c r="D199" i="60"/>
  <c r="G199" i="60"/>
  <c r="F200" i="60"/>
  <c r="E201" i="60"/>
  <c r="H201" i="60"/>
  <c r="E203" i="60"/>
  <c r="H203" i="60"/>
  <c r="E199" i="60"/>
  <c r="L14" i="54"/>
  <c r="L15" i="54" s="1"/>
  <c r="L16" i="54" s="1"/>
  <c r="L18" i="54"/>
  <c r="L19" i="54" s="1"/>
  <c r="F379" i="60"/>
  <c r="D380" i="60"/>
  <c r="G380" i="60"/>
  <c r="F381" i="60"/>
  <c r="D382" i="60"/>
  <c r="G382" i="60"/>
  <c r="E379" i="60"/>
  <c r="H379" i="60"/>
  <c r="E381" i="60"/>
  <c r="H381" i="60"/>
  <c r="F378" i="60"/>
  <c r="D378" i="60"/>
  <c r="E380" i="60"/>
  <c r="H382" i="60"/>
  <c r="D379" i="60"/>
  <c r="F380" i="60"/>
  <c r="G381" i="60"/>
  <c r="E378" i="60"/>
  <c r="H380" i="60"/>
  <c r="E382" i="60"/>
  <c r="G378" i="60"/>
  <c r="G379" i="60"/>
  <c r="D381" i="60"/>
  <c r="F382" i="60"/>
  <c r="H378" i="60"/>
  <c r="G6" i="60"/>
  <c r="E6" i="60"/>
  <c r="H6" i="60"/>
  <c r="F6" i="60"/>
  <c r="D6" i="60"/>
  <c r="D459" i="60"/>
  <c r="F459" i="60"/>
  <c r="E459" i="60"/>
  <c r="G459" i="60"/>
  <c r="H459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2" i="34"/>
  <c r="V14" i="34"/>
  <c r="V16" i="34"/>
  <c r="Q10" i="34"/>
  <c r="A10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73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588" i="55"/>
  <c r="V10" i="34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K13" i="55"/>
  <c r="G588" i="55"/>
  <c r="K12" i="55"/>
  <c r="K18" i="55"/>
  <c r="I13" i="61"/>
  <c r="I14" i="61" s="1"/>
  <c r="C13" i="61"/>
  <c r="C14" i="61" s="1"/>
  <c r="F28" i="56" l="1"/>
  <c r="H28" i="56" s="1"/>
  <c r="G28" i="56"/>
  <c r="B28" i="56"/>
  <c r="G18" i="56"/>
  <c r="G22" i="56"/>
  <c r="G19" i="56"/>
  <c r="G23" i="56"/>
  <c r="G27" i="56"/>
  <c r="G20" i="56"/>
  <c r="G24" i="56"/>
  <c r="G21" i="56"/>
  <c r="G25" i="56"/>
  <c r="G17" i="56"/>
  <c r="G26" i="56"/>
  <c r="A32" i="56"/>
  <c r="F27" i="56"/>
  <c r="H27" i="56" s="1"/>
  <c r="B24" i="56"/>
  <c r="B25" i="56"/>
  <c r="B26" i="56"/>
  <c r="F26" i="56"/>
  <c r="H26" i="56" s="1"/>
  <c r="F25" i="56"/>
  <c r="H25" i="56" s="1"/>
  <c r="B27" i="56"/>
  <c r="F24" i="56"/>
  <c r="I477" i="60"/>
  <c r="K477" i="60" s="1"/>
  <c r="I61" i="60"/>
  <c r="K61" i="60" s="1"/>
  <c r="I492" i="60"/>
  <c r="K492" i="60" s="1"/>
  <c r="I465" i="60"/>
  <c r="K465" i="60" s="1"/>
  <c r="I473" i="60"/>
  <c r="K473" i="60" s="1"/>
  <c r="I386" i="60"/>
  <c r="K386" i="60" s="1"/>
  <c r="I414" i="60"/>
  <c r="K414" i="60" s="1"/>
  <c r="I422" i="60"/>
  <c r="K422" i="60" s="1"/>
  <c r="I430" i="60"/>
  <c r="K430" i="60" s="1"/>
  <c r="I388" i="60"/>
  <c r="K388" i="60" s="1"/>
  <c r="I404" i="60"/>
  <c r="K404" i="60" s="1"/>
  <c r="I412" i="60"/>
  <c r="K412" i="60" s="1"/>
  <c r="I420" i="60"/>
  <c r="K420" i="60" s="1"/>
  <c r="I428" i="60"/>
  <c r="K428" i="60" s="1"/>
  <c r="I507" i="60"/>
  <c r="K507" i="60" s="1"/>
  <c r="I464" i="60"/>
  <c r="K464" i="60" s="1"/>
  <c r="I475" i="60"/>
  <c r="K475" i="60" s="1"/>
  <c r="I470" i="60"/>
  <c r="K470" i="60" s="1"/>
  <c r="I488" i="60"/>
  <c r="K488" i="60" s="1"/>
  <c r="I468" i="60"/>
  <c r="K468" i="60" s="1"/>
  <c r="I474" i="60"/>
  <c r="K474" i="60" s="1"/>
  <c r="I472" i="60"/>
  <c r="K472" i="60" s="1"/>
  <c r="I467" i="60"/>
  <c r="K467" i="60" s="1"/>
  <c r="I478" i="60"/>
  <c r="K478" i="60" s="1"/>
  <c r="I418" i="60"/>
  <c r="K418" i="60" s="1"/>
  <c r="I426" i="60"/>
  <c r="K426" i="60" s="1"/>
  <c r="I480" i="60"/>
  <c r="K480" i="60" s="1"/>
  <c r="I469" i="60"/>
  <c r="K469" i="60" s="1"/>
  <c r="I476" i="60"/>
  <c r="K476" i="60" s="1"/>
  <c r="I471" i="60"/>
  <c r="K471" i="60" s="1"/>
  <c r="I466" i="60"/>
  <c r="K466" i="60" s="1"/>
  <c r="I479" i="60"/>
  <c r="K479" i="60" s="1"/>
  <c r="I490" i="60"/>
  <c r="K490" i="60" s="1"/>
  <c r="I485" i="60"/>
  <c r="K485" i="60" s="1"/>
  <c r="I503" i="60"/>
  <c r="K503" i="60" s="1"/>
  <c r="I483" i="60"/>
  <c r="K483" i="60" s="1"/>
  <c r="I489" i="60"/>
  <c r="K489" i="60" s="1"/>
  <c r="I487" i="60"/>
  <c r="K487" i="60" s="1"/>
  <c r="I482" i="60"/>
  <c r="K482" i="60" s="1"/>
  <c r="I493" i="60"/>
  <c r="K493" i="60" s="1"/>
  <c r="I495" i="60"/>
  <c r="K495" i="60" s="1"/>
  <c r="I484" i="60"/>
  <c r="K484" i="60" s="1"/>
  <c r="I491" i="60"/>
  <c r="K491" i="60" s="1"/>
  <c r="I486" i="60"/>
  <c r="K486" i="60" s="1"/>
  <c r="I481" i="60"/>
  <c r="K481" i="60" s="1"/>
  <c r="I494" i="60"/>
  <c r="K494" i="60" s="1"/>
  <c r="I505" i="60"/>
  <c r="K505" i="60" s="1"/>
  <c r="I500" i="60"/>
  <c r="K500" i="60" s="1"/>
  <c r="I498" i="60"/>
  <c r="K498" i="60" s="1"/>
  <c r="I504" i="60"/>
  <c r="K504" i="60" s="1"/>
  <c r="I502" i="60"/>
  <c r="K502" i="60" s="1"/>
  <c r="I497" i="60"/>
  <c r="K497" i="60" s="1"/>
  <c r="I508" i="60"/>
  <c r="K508" i="60" s="1"/>
  <c r="I406" i="60"/>
  <c r="K406" i="60" s="1"/>
  <c r="I510" i="60"/>
  <c r="K510" i="60" s="1"/>
  <c r="I499" i="60"/>
  <c r="K499" i="60" s="1"/>
  <c r="I506" i="60"/>
  <c r="K506" i="60" s="1"/>
  <c r="I501" i="60"/>
  <c r="K501" i="60" s="1"/>
  <c r="I496" i="60"/>
  <c r="K496" i="60" s="1"/>
  <c r="K518" i="60"/>
  <c r="I509" i="60"/>
  <c r="K509" i="60" s="1"/>
  <c r="K520" i="60"/>
  <c r="I515" i="60"/>
  <c r="K515" i="60" s="1"/>
  <c r="I513" i="60"/>
  <c r="K513" i="60" s="1"/>
  <c r="K519" i="60"/>
  <c r="I517" i="60"/>
  <c r="K517" i="60" s="1"/>
  <c r="I512" i="60"/>
  <c r="K512" i="60" s="1"/>
  <c r="I514" i="60"/>
  <c r="K514" i="60" s="1"/>
  <c r="K521" i="60"/>
  <c r="I516" i="60"/>
  <c r="K516" i="60" s="1"/>
  <c r="I511" i="60"/>
  <c r="K511" i="60" s="1"/>
  <c r="I434" i="60"/>
  <c r="K434" i="60" s="1"/>
  <c r="I442" i="60"/>
  <c r="K442" i="60" s="1"/>
  <c r="I450" i="60"/>
  <c r="K450" i="60" s="1"/>
  <c r="I390" i="60"/>
  <c r="K390" i="60" s="1"/>
  <c r="I398" i="60"/>
  <c r="K398" i="60" s="1"/>
  <c r="I438" i="60"/>
  <c r="K438" i="60" s="1"/>
  <c r="I446" i="60"/>
  <c r="K446" i="60" s="1"/>
  <c r="I402" i="60"/>
  <c r="K402" i="60" s="1"/>
  <c r="I410" i="60"/>
  <c r="K410" i="60" s="1"/>
  <c r="I207" i="60"/>
  <c r="K207" i="60" s="1"/>
  <c r="I223" i="60"/>
  <c r="K223" i="60" s="1"/>
  <c r="I239" i="60"/>
  <c r="K239" i="60" s="1"/>
  <c r="I435" i="60"/>
  <c r="K435" i="60" s="1"/>
  <c r="I443" i="60"/>
  <c r="K443" i="60" s="1"/>
  <c r="I391" i="60"/>
  <c r="K391" i="60" s="1"/>
  <c r="I399" i="60"/>
  <c r="K399" i="60" s="1"/>
  <c r="I407" i="60"/>
  <c r="K407" i="60" s="1"/>
  <c r="I415" i="60"/>
  <c r="K415" i="60" s="1"/>
  <c r="I423" i="60"/>
  <c r="K423" i="60" s="1"/>
  <c r="I396" i="60"/>
  <c r="K396" i="60" s="1"/>
  <c r="I389" i="60"/>
  <c r="K389" i="60" s="1"/>
  <c r="I397" i="60"/>
  <c r="K397" i="60" s="1"/>
  <c r="I405" i="60"/>
  <c r="K405" i="60" s="1"/>
  <c r="I413" i="60"/>
  <c r="K413" i="60" s="1"/>
  <c r="I421" i="60"/>
  <c r="K421" i="60" s="1"/>
  <c r="I429" i="60"/>
  <c r="K429" i="60" s="1"/>
  <c r="I387" i="60"/>
  <c r="K387" i="60" s="1"/>
  <c r="I395" i="60"/>
  <c r="K395" i="60" s="1"/>
  <c r="I403" i="60"/>
  <c r="K403" i="60" s="1"/>
  <c r="I411" i="60"/>
  <c r="K411" i="60" s="1"/>
  <c r="I419" i="60"/>
  <c r="K419" i="60" s="1"/>
  <c r="I427" i="60"/>
  <c r="K427" i="60" s="1"/>
  <c r="I392" i="60"/>
  <c r="K392" i="60" s="1"/>
  <c r="I400" i="60"/>
  <c r="K400" i="60" s="1"/>
  <c r="I408" i="60"/>
  <c r="K408" i="60" s="1"/>
  <c r="I416" i="60"/>
  <c r="K416" i="60" s="1"/>
  <c r="I424" i="60"/>
  <c r="K424" i="60" s="1"/>
  <c r="I393" i="60"/>
  <c r="K393" i="60" s="1"/>
  <c r="I401" i="60"/>
  <c r="K401" i="60" s="1"/>
  <c r="I409" i="60"/>
  <c r="K409" i="60" s="1"/>
  <c r="I417" i="60"/>
  <c r="K417" i="60" s="1"/>
  <c r="I425" i="60"/>
  <c r="K425" i="60" s="1"/>
  <c r="I384" i="60"/>
  <c r="K384" i="60" s="1"/>
  <c r="I432" i="60"/>
  <c r="K432" i="60" s="1"/>
  <c r="I440" i="60"/>
  <c r="K440" i="60" s="1"/>
  <c r="I448" i="60"/>
  <c r="K448" i="60" s="1"/>
  <c r="I433" i="60"/>
  <c r="K433" i="60" s="1"/>
  <c r="I441" i="60"/>
  <c r="K441" i="60" s="1"/>
  <c r="I449" i="60"/>
  <c r="K449" i="60" s="1"/>
  <c r="I431" i="60"/>
  <c r="K431" i="60" s="1"/>
  <c r="I439" i="60"/>
  <c r="K439" i="60" s="1"/>
  <c r="I447" i="60"/>
  <c r="K447" i="60" s="1"/>
  <c r="I436" i="60"/>
  <c r="K436" i="60" s="1"/>
  <c r="I444" i="60"/>
  <c r="K444" i="60" s="1"/>
  <c r="I437" i="60"/>
  <c r="K437" i="60" s="1"/>
  <c r="I445" i="60"/>
  <c r="K445" i="60" s="1"/>
  <c r="I385" i="60"/>
  <c r="K385" i="60" s="1"/>
  <c r="I172" i="60"/>
  <c r="K172" i="60" s="1"/>
  <c r="I38" i="60"/>
  <c r="K38" i="60" s="1"/>
  <c r="I54" i="60"/>
  <c r="K54" i="60" s="1"/>
  <c r="I14" i="60"/>
  <c r="K14" i="60" s="1"/>
  <c r="I30" i="60"/>
  <c r="K30" i="60" s="1"/>
  <c r="I145" i="60"/>
  <c r="K145" i="60" s="1"/>
  <c r="I161" i="60"/>
  <c r="K161" i="60" s="1"/>
  <c r="I219" i="60"/>
  <c r="K219" i="60" s="1"/>
  <c r="I235" i="60"/>
  <c r="K235" i="60" s="1"/>
  <c r="I89" i="60"/>
  <c r="K89" i="60" s="1"/>
  <c r="I105" i="60"/>
  <c r="K105" i="60" s="1"/>
  <c r="I368" i="60"/>
  <c r="K368" i="60" s="1"/>
  <c r="I62" i="60"/>
  <c r="K62" i="60" s="1"/>
  <c r="I137" i="60"/>
  <c r="K137" i="60" s="1"/>
  <c r="I153" i="60"/>
  <c r="K153" i="60" s="1"/>
  <c r="I249" i="60"/>
  <c r="K249" i="60" s="1"/>
  <c r="I265" i="60"/>
  <c r="K265" i="60" s="1"/>
  <c r="I281" i="60"/>
  <c r="K281" i="60" s="1"/>
  <c r="I215" i="60"/>
  <c r="K215" i="60" s="1"/>
  <c r="I231" i="60"/>
  <c r="K231" i="60" s="1"/>
  <c r="I247" i="60"/>
  <c r="K247" i="60" s="1"/>
  <c r="I218" i="60"/>
  <c r="K218" i="60" s="1"/>
  <c r="I234" i="60"/>
  <c r="K234" i="60" s="1"/>
  <c r="I221" i="60"/>
  <c r="K221" i="60" s="1"/>
  <c r="I237" i="60"/>
  <c r="K237" i="60" s="1"/>
  <c r="I208" i="60"/>
  <c r="K208" i="60" s="1"/>
  <c r="I224" i="60"/>
  <c r="K224" i="60" s="1"/>
  <c r="I240" i="60"/>
  <c r="K240" i="60" s="1"/>
  <c r="I222" i="60"/>
  <c r="K222" i="60" s="1"/>
  <c r="I238" i="60"/>
  <c r="K238" i="60" s="1"/>
  <c r="I209" i="60"/>
  <c r="K209" i="60" s="1"/>
  <c r="I225" i="60"/>
  <c r="K225" i="60" s="1"/>
  <c r="I241" i="60"/>
  <c r="K241" i="60" s="1"/>
  <c r="I212" i="60"/>
  <c r="K212" i="60" s="1"/>
  <c r="I228" i="60"/>
  <c r="K228" i="60" s="1"/>
  <c r="I244" i="60"/>
  <c r="K244" i="60" s="1"/>
  <c r="I210" i="60"/>
  <c r="K210" i="60" s="1"/>
  <c r="I226" i="60"/>
  <c r="K226" i="60" s="1"/>
  <c r="I242" i="60"/>
  <c r="K242" i="60" s="1"/>
  <c r="I213" i="60"/>
  <c r="K213" i="60" s="1"/>
  <c r="I229" i="60"/>
  <c r="K229" i="60" s="1"/>
  <c r="I245" i="60"/>
  <c r="K245" i="60" s="1"/>
  <c r="I216" i="60"/>
  <c r="K216" i="60" s="1"/>
  <c r="I232" i="60"/>
  <c r="K232" i="60" s="1"/>
  <c r="I248" i="60"/>
  <c r="K248" i="60" s="1"/>
  <c r="I293" i="60"/>
  <c r="K293" i="60" s="1"/>
  <c r="I303" i="60"/>
  <c r="K303" i="60" s="1"/>
  <c r="I261" i="60"/>
  <c r="K261" i="60" s="1"/>
  <c r="I277" i="60"/>
  <c r="K277" i="60" s="1"/>
  <c r="I211" i="60"/>
  <c r="K211" i="60" s="1"/>
  <c r="I227" i="60"/>
  <c r="K227" i="60" s="1"/>
  <c r="I243" i="60"/>
  <c r="K243" i="60" s="1"/>
  <c r="I214" i="60"/>
  <c r="K214" i="60" s="1"/>
  <c r="I230" i="60"/>
  <c r="K230" i="60" s="1"/>
  <c r="I246" i="60"/>
  <c r="K246" i="60" s="1"/>
  <c r="I217" i="60"/>
  <c r="K217" i="60" s="1"/>
  <c r="I233" i="60"/>
  <c r="K233" i="60" s="1"/>
  <c r="I220" i="60"/>
  <c r="K220" i="60" s="1"/>
  <c r="I236" i="60"/>
  <c r="K236" i="60" s="1"/>
  <c r="I332" i="60"/>
  <c r="K332" i="60" s="1"/>
  <c r="I347" i="60"/>
  <c r="K347" i="60" s="1"/>
  <c r="I257" i="60"/>
  <c r="K257" i="60" s="1"/>
  <c r="I273" i="60"/>
  <c r="K273" i="60" s="1"/>
  <c r="I289" i="60"/>
  <c r="K289" i="60" s="1"/>
  <c r="I260" i="60"/>
  <c r="K260" i="60" s="1"/>
  <c r="I276" i="60"/>
  <c r="K276" i="60" s="1"/>
  <c r="I263" i="60"/>
  <c r="K263" i="60" s="1"/>
  <c r="I279" i="60"/>
  <c r="K279" i="60" s="1"/>
  <c r="I250" i="60"/>
  <c r="K250" i="60" s="1"/>
  <c r="I266" i="60"/>
  <c r="K266" i="60" s="1"/>
  <c r="I282" i="60"/>
  <c r="K282" i="60" s="1"/>
  <c r="I264" i="60"/>
  <c r="K264" i="60" s="1"/>
  <c r="I280" i="60"/>
  <c r="K280" i="60" s="1"/>
  <c r="I251" i="60"/>
  <c r="K251" i="60" s="1"/>
  <c r="I267" i="60"/>
  <c r="K267" i="60" s="1"/>
  <c r="I283" i="60"/>
  <c r="K283" i="60" s="1"/>
  <c r="I254" i="60"/>
  <c r="K254" i="60" s="1"/>
  <c r="I270" i="60"/>
  <c r="K270" i="60" s="1"/>
  <c r="I286" i="60"/>
  <c r="K286" i="60" s="1"/>
  <c r="I252" i="60"/>
  <c r="K252" i="60" s="1"/>
  <c r="I268" i="60"/>
  <c r="K268" i="60" s="1"/>
  <c r="I284" i="60"/>
  <c r="K284" i="60" s="1"/>
  <c r="I255" i="60"/>
  <c r="K255" i="60" s="1"/>
  <c r="I271" i="60"/>
  <c r="K271" i="60" s="1"/>
  <c r="I287" i="60"/>
  <c r="K287" i="60" s="1"/>
  <c r="I258" i="60"/>
  <c r="K258" i="60" s="1"/>
  <c r="I274" i="60"/>
  <c r="K274" i="60" s="1"/>
  <c r="I290" i="60"/>
  <c r="K290" i="60" s="1"/>
  <c r="I295" i="60"/>
  <c r="K295" i="60" s="1"/>
  <c r="I253" i="60"/>
  <c r="K253" i="60" s="1"/>
  <c r="I269" i="60"/>
  <c r="K269" i="60" s="1"/>
  <c r="I285" i="60"/>
  <c r="K285" i="60" s="1"/>
  <c r="I256" i="60"/>
  <c r="K256" i="60" s="1"/>
  <c r="I272" i="60"/>
  <c r="K272" i="60" s="1"/>
  <c r="I288" i="60"/>
  <c r="K288" i="60" s="1"/>
  <c r="I259" i="60"/>
  <c r="K259" i="60" s="1"/>
  <c r="I275" i="60"/>
  <c r="K275" i="60" s="1"/>
  <c r="I262" i="60"/>
  <c r="K262" i="60" s="1"/>
  <c r="I278" i="60"/>
  <c r="K278" i="60" s="1"/>
  <c r="I309" i="60"/>
  <c r="K309" i="60" s="1"/>
  <c r="I325" i="60"/>
  <c r="K325" i="60" s="1"/>
  <c r="I307" i="60"/>
  <c r="K307" i="60" s="1"/>
  <c r="I297" i="60"/>
  <c r="K297" i="60" s="1"/>
  <c r="I206" i="60"/>
  <c r="K206" i="60" s="1"/>
  <c r="I300" i="60"/>
  <c r="K300" i="60" s="1"/>
  <c r="I298" i="60"/>
  <c r="K298" i="60" s="1"/>
  <c r="I291" i="60"/>
  <c r="K291" i="60" s="1"/>
  <c r="I301" i="60"/>
  <c r="K301" i="60" s="1"/>
  <c r="I294" i="60"/>
  <c r="K294" i="60" s="1"/>
  <c r="I304" i="60"/>
  <c r="K304" i="60" s="1"/>
  <c r="I205" i="60"/>
  <c r="K205" i="60" s="1"/>
  <c r="I299" i="60"/>
  <c r="K299" i="60" s="1"/>
  <c r="I292" i="60"/>
  <c r="K292" i="60" s="1"/>
  <c r="I302" i="60"/>
  <c r="K302" i="60" s="1"/>
  <c r="I305" i="60"/>
  <c r="K305" i="60" s="1"/>
  <c r="I308" i="60"/>
  <c r="K308" i="60" s="1"/>
  <c r="I306" i="60"/>
  <c r="K306" i="60" s="1"/>
  <c r="I296" i="60"/>
  <c r="K296" i="60" s="1"/>
  <c r="I317" i="60"/>
  <c r="K317" i="60" s="1"/>
  <c r="I330" i="60"/>
  <c r="K330" i="60" s="1"/>
  <c r="I320" i="60"/>
  <c r="K320" i="60" s="1"/>
  <c r="I323" i="60"/>
  <c r="K323" i="60" s="1"/>
  <c r="I310" i="60"/>
  <c r="K310" i="60" s="1"/>
  <c r="I326" i="60"/>
  <c r="K326" i="60" s="1"/>
  <c r="I321" i="60"/>
  <c r="K321" i="60" s="1"/>
  <c r="I324" i="60"/>
  <c r="K324" i="60" s="1"/>
  <c r="I311" i="60"/>
  <c r="K311" i="60" s="1"/>
  <c r="I327" i="60"/>
  <c r="K327" i="60" s="1"/>
  <c r="I314" i="60"/>
  <c r="K314" i="60" s="1"/>
  <c r="I312" i="60"/>
  <c r="K312" i="60" s="1"/>
  <c r="I328" i="60"/>
  <c r="K328" i="60" s="1"/>
  <c r="I315" i="60"/>
  <c r="K315" i="60" s="1"/>
  <c r="I318" i="60"/>
  <c r="K318" i="60" s="1"/>
  <c r="I331" i="60"/>
  <c r="K331" i="60" s="1"/>
  <c r="I313" i="60"/>
  <c r="K313" i="60" s="1"/>
  <c r="I329" i="60"/>
  <c r="K329" i="60" s="1"/>
  <c r="I316" i="60"/>
  <c r="K316" i="60" s="1"/>
  <c r="I319" i="60"/>
  <c r="K319" i="60" s="1"/>
  <c r="I322" i="60"/>
  <c r="K322" i="60" s="1"/>
  <c r="I339" i="60"/>
  <c r="K339" i="60" s="1"/>
  <c r="I355" i="60"/>
  <c r="K355" i="60" s="1"/>
  <c r="I342" i="60"/>
  <c r="K342" i="60" s="1"/>
  <c r="I345" i="60"/>
  <c r="K345" i="60" s="1"/>
  <c r="I333" i="60"/>
  <c r="K333" i="60" s="1"/>
  <c r="I348" i="60"/>
  <c r="K348" i="60" s="1"/>
  <c r="I343" i="60"/>
  <c r="K343" i="60" s="1"/>
  <c r="I346" i="60"/>
  <c r="K346" i="60" s="1"/>
  <c r="I334" i="60"/>
  <c r="K334" i="60" s="1"/>
  <c r="I349" i="60"/>
  <c r="K349" i="60" s="1"/>
  <c r="I336" i="60"/>
  <c r="K336" i="60" s="1"/>
  <c r="I352" i="60"/>
  <c r="K352" i="60" s="1"/>
  <c r="I350" i="60"/>
  <c r="K350" i="60" s="1"/>
  <c r="I337" i="60"/>
  <c r="K337" i="60" s="1"/>
  <c r="I353" i="60"/>
  <c r="K353" i="60" s="1"/>
  <c r="I340" i="60"/>
  <c r="K340" i="60" s="1"/>
  <c r="I356" i="60"/>
  <c r="K356" i="60" s="1"/>
  <c r="I335" i="60"/>
  <c r="K335" i="60" s="1"/>
  <c r="I351" i="60"/>
  <c r="K351" i="60" s="1"/>
  <c r="I338" i="60"/>
  <c r="K338" i="60" s="1"/>
  <c r="I354" i="60"/>
  <c r="K354" i="60" s="1"/>
  <c r="I341" i="60"/>
  <c r="K341" i="60" s="1"/>
  <c r="I344" i="60"/>
  <c r="K344" i="60" s="1"/>
  <c r="I369" i="60"/>
  <c r="K369" i="60" s="1"/>
  <c r="I363" i="60"/>
  <c r="K363" i="60" s="1"/>
  <c r="I358" i="60"/>
  <c r="K358" i="60" s="1"/>
  <c r="I367" i="60"/>
  <c r="K367" i="60" s="1"/>
  <c r="I357" i="60"/>
  <c r="K357" i="60" s="1"/>
  <c r="I362" i="60"/>
  <c r="K362" i="60" s="1"/>
  <c r="I360" i="60"/>
  <c r="K360" i="60" s="1"/>
  <c r="I361" i="60"/>
  <c r="K361" i="60" s="1"/>
  <c r="I364" i="60"/>
  <c r="K364" i="60" s="1"/>
  <c r="I359" i="60"/>
  <c r="K359" i="60" s="1"/>
  <c r="I366" i="60"/>
  <c r="K366" i="60" s="1"/>
  <c r="I365" i="60"/>
  <c r="K365" i="60" s="1"/>
  <c r="I135" i="60"/>
  <c r="K135" i="60" s="1"/>
  <c r="I107" i="60"/>
  <c r="K107" i="60" s="1"/>
  <c r="I123" i="60"/>
  <c r="K123" i="60" s="1"/>
  <c r="I85" i="60"/>
  <c r="K85" i="60" s="1"/>
  <c r="I101" i="60"/>
  <c r="K101" i="60" s="1"/>
  <c r="I84" i="60"/>
  <c r="K84" i="60" s="1"/>
  <c r="I100" i="60"/>
  <c r="K100" i="60" s="1"/>
  <c r="I83" i="60"/>
  <c r="K83" i="60" s="1"/>
  <c r="I99" i="60"/>
  <c r="K99" i="60" s="1"/>
  <c r="I82" i="60"/>
  <c r="K82" i="60" s="1"/>
  <c r="I98" i="60"/>
  <c r="K98" i="60" s="1"/>
  <c r="I88" i="60"/>
  <c r="K88" i="60" s="1"/>
  <c r="I104" i="60"/>
  <c r="K104" i="60" s="1"/>
  <c r="I87" i="60"/>
  <c r="K87" i="60" s="1"/>
  <c r="I103" i="60"/>
  <c r="K103" i="60" s="1"/>
  <c r="I86" i="60"/>
  <c r="K86" i="60" s="1"/>
  <c r="I102" i="60"/>
  <c r="K102" i="60" s="1"/>
  <c r="I77" i="60"/>
  <c r="K77" i="60" s="1"/>
  <c r="I93" i="60"/>
  <c r="K93" i="60" s="1"/>
  <c r="I92" i="60"/>
  <c r="K92" i="60" s="1"/>
  <c r="I91" i="60"/>
  <c r="K91" i="60" s="1"/>
  <c r="I90" i="60"/>
  <c r="K90" i="60" s="1"/>
  <c r="I106" i="60"/>
  <c r="K106" i="60" s="1"/>
  <c r="I119" i="60"/>
  <c r="K119" i="60" s="1"/>
  <c r="I81" i="60"/>
  <c r="K81" i="60" s="1"/>
  <c r="I97" i="60"/>
  <c r="K97" i="60" s="1"/>
  <c r="I80" i="60"/>
  <c r="K80" i="60" s="1"/>
  <c r="I96" i="60"/>
  <c r="K96" i="60" s="1"/>
  <c r="I79" i="60"/>
  <c r="K79" i="60" s="1"/>
  <c r="I95" i="60"/>
  <c r="K95" i="60" s="1"/>
  <c r="I78" i="60"/>
  <c r="K78" i="60" s="1"/>
  <c r="I94" i="60"/>
  <c r="K94" i="60" s="1"/>
  <c r="I115" i="60"/>
  <c r="K115" i="60" s="1"/>
  <c r="I131" i="60"/>
  <c r="K131" i="60" s="1"/>
  <c r="I114" i="60"/>
  <c r="K114" i="60" s="1"/>
  <c r="I130" i="60"/>
  <c r="K130" i="60" s="1"/>
  <c r="I113" i="60"/>
  <c r="K113" i="60" s="1"/>
  <c r="I129" i="60"/>
  <c r="K129" i="60" s="1"/>
  <c r="I112" i="60"/>
  <c r="K112" i="60" s="1"/>
  <c r="I128" i="60"/>
  <c r="K128" i="60" s="1"/>
  <c r="I118" i="60"/>
  <c r="K118" i="60" s="1"/>
  <c r="I134" i="60"/>
  <c r="K134" i="60" s="1"/>
  <c r="I117" i="60"/>
  <c r="K117" i="60" s="1"/>
  <c r="I133" i="60"/>
  <c r="K133" i="60" s="1"/>
  <c r="I116" i="60"/>
  <c r="K116" i="60" s="1"/>
  <c r="I132" i="60"/>
  <c r="K132" i="60" s="1"/>
  <c r="I122" i="60"/>
  <c r="K122" i="60" s="1"/>
  <c r="I121" i="60"/>
  <c r="K121" i="60" s="1"/>
  <c r="I120" i="60"/>
  <c r="K120" i="60" s="1"/>
  <c r="I136" i="60"/>
  <c r="K136" i="60" s="1"/>
  <c r="I149" i="60"/>
  <c r="K149" i="60" s="1"/>
  <c r="I165" i="60"/>
  <c r="K165" i="60" s="1"/>
  <c r="I111" i="60"/>
  <c r="K111" i="60" s="1"/>
  <c r="I127" i="60"/>
  <c r="K127" i="60" s="1"/>
  <c r="I110" i="60"/>
  <c r="K110" i="60" s="1"/>
  <c r="I126" i="60"/>
  <c r="K126" i="60" s="1"/>
  <c r="I109" i="60"/>
  <c r="K109" i="60" s="1"/>
  <c r="I125" i="60"/>
  <c r="K125" i="60" s="1"/>
  <c r="I108" i="60"/>
  <c r="K108" i="60" s="1"/>
  <c r="I124" i="60"/>
  <c r="K124" i="60" s="1"/>
  <c r="I144" i="60"/>
  <c r="K144" i="60" s="1"/>
  <c r="I160" i="60"/>
  <c r="K160" i="60" s="1"/>
  <c r="I143" i="60"/>
  <c r="K143" i="60" s="1"/>
  <c r="I159" i="60"/>
  <c r="K159" i="60" s="1"/>
  <c r="I142" i="60"/>
  <c r="K142" i="60" s="1"/>
  <c r="I158" i="60"/>
  <c r="K158" i="60" s="1"/>
  <c r="I148" i="60"/>
  <c r="K148" i="60" s="1"/>
  <c r="I164" i="60"/>
  <c r="K164" i="60" s="1"/>
  <c r="I147" i="60"/>
  <c r="K147" i="60" s="1"/>
  <c r="I163" i="60"/>
  <c r="K163" i="60" s="1"/>
  <c r="I146" i="60"/>
  <c r="K146" i="60" s="1"/>
  <c r="I162" i="60"/>
  <c r="K162" i="60" s="1"/>
  <c r="I152" i="60"/>
  <c r="K152" i="60" s="1"/>
  <c r="I151" i="60"/>
  <c r="K151" i="60" s="1"/>
  <c r="I150" i="60"/>
  <c r="K150" i="60" s="1"/>
  <c r="I166" i="60"/>
  <c r="K166" i="60" s="1"/>
  <c r="I184" i="60"/>
  <c r="K184" i="60" s="1"/>
  <c r="I179" i="60"/>
  <c r="K179" i="60" s="1"/>
  <c r="I50" i="60"/>
  <c r="K50" i="60" s="1"/>
  <c r="I26" i="60"/>
  <c r="K26" i="60" s="1"/>
  <c r="I141" i="60"/>
  <c r="K141" i="60" s="1"/>
  <c r="I157" i="60"/>
  <c r="K157" i="60" s="1"/>
  <c r="I140" i="60"/>
  <c r="K140" i="60" s="1"/>
  <c r="I156" i="60"/>
  <c r="K156" i="60" s="1"/>
  <c r="I139" i="60"/>
  <c r="K139" i="60" s="1"/>
  <c r="I155" i="60"/>
  <c r="K155" i="60" s="1"/>
  <c r="I138" i="60"/>
  <c r="K138" i="60" s="1"/>
  <c r="I154" i="60"/>
  <c r="K154" i="60" s="1"/>
  <c r="I22" i="60"/>
  <c r="K22" i="60" s="1"/>
  <c r="I17" i="60"/>
  <c r="K17" i="60" s="1"/>
  <c r="I33" i="60"/>
  <c r="K33" i="60" s="1"/>
  <c r="I12" i="60"/>
  <c r="K12" i="60" s="1"/>
  <c r="I28" i="60"/>
  <c r="K28" i="60" s="1"/>
  <c r="I27" i="60"/>
  <c r="K27" i="60" s="1"/>
  <c r="I21" i="60"/>
  <c r="K21" i="60" s="1"/>
  <c r="I16" i="60"/>
  <c r="K16" i="60" s="1"/>
  <c r="I32" i="60"/>
  <c r="K32" i="60" s="1"/>
  <c r="I15" i="60"/>
  <c r="K15" i="60" s="1"/>
  <c r="I31" i="60"/>
  <c r="K31" i="60" s="1"/>
  <c r="I25" i="60"/>
  <c r="K25" i="60" s="1"/>
  <c r="I20" i="60"/>
  <c r="K20" i="60" s="1"/>
  <c r="I19" i="60"/>
  <c r="K19" i="60" s="1"/>
  <c r="I35" i="60"/>
  <c r="K35" i="60" s="1"/>
  <c r="I18" i="60"/>
  <c r="K18" i="60" s="1"/>
  <c r="I34" i="60"/>
  <c r="K34" i="60" s="1"/>
  <c r="I13" i="60"/>
  <c r="K13" i="60" s="1"/>
  <c r="I29" i="60"/>
  <c r="K29" i="60" s="1"/>
  <c r="I24" i="60"/>
  <c r="K24" i="60" s="1"/>
  <c r="I23" i="60"/>
  <c r="K23" i="60" s="1"/>
  <c r="I46" i="60"/>
  <c r="K46" i="60" s="1"/>
  <c r="I41" i="60"/>
  <c r="K41" i="60" s="1"/>
  <c r="I57" i="60"/>
  <c r="K57" i="60" s="1"/>
  <c r="I36" i="60"/>
  <c r="K36" i="60" s="1"/>
  <c r="I52" i="60"/>
  <c r="K52" i="60" s="1"/>
  <c r="I51" i="60"/>
  <c r="K51" i="60" s="1"/>
  <c r="I45" i="60"/>
  <c r="K45" i="60" s="1"/>
  <c r="I40" i="60"/>
  <c r="K40" i="60" s="1"/>
  <c r="I56" i="60"/>
  <c r="K56" i="60" s="1"/>
  <c r="I39" i="60"/>
  <c r="K39" i="60" s="1"/>
  <c r="I55" i="60"/>
  <c r="K55" i="60" s="1"/>
  <c r="I49" i="60"/>
  <c r="K49" i="60" s="1"/>
  <c r="I44" i="60"/>
  <c r="K44" i="60" s="1"/>
  <c r="I43" i="60"/>
  <c r="K43" i="60" s="1"/>
  <c r="I59" i="60"/>
  <c r="K59" i="60" s="1"/>
  <c r="I42" i="60"/>
  <c r="K42" i="60" s="1"/>
  <c r="I58" i="60"/>
  <c r="K58" i="60" s="1"/>
  <c r="I37" i="60"/>
  <c r="K37" i="60" s="1"/>
  <c r="I53" i="60"/>
  <c r="K53" i="60" s="1"/>
  <c r="I48" i="60"/>
  <c r="K48" i="60" s="1"/>
  <c r="I47" i="60"/>
  <c r="K47" i="60" s="1"/>
  <c r="I180" i="60"/>
  <c r="K180" i="60" s="1"/>
  <c r="I175" i="60"/>
  <c r="K175" i="60" s="1"/>
  <c r="I74" i="60"/>
  <c r="K74" i="60" s="1"/>
  <c r="I69" i="60"/>
  <c r="K69" i="60" s="1"/>
  <c r="I68" i="60"/>
  <c r="K68" i="60" s="1"/>
  <c r="I72" i="60"/>
  <c r="K72" i="60" s="1"/>
  <c r="I75" i="60"/>
  <c r="K75" i="60" s="1"/>
  <c r="I168" i="60"/>
  <c r="K168" i="60" s="1"/>
  <c r="I73" i="60"/>
  <c r="K73" i="60" s="1"/>
  <c r="I70" i="60"/>
  <c r="K70" i="60" s="1"/>
  <c r="I63" i="60"/>
  <c r="K63" i="60" s="1"/>
  <c r="I169" i="60"/>
  <c r="K169" i="60" s="1"/>
  <c r="I167" i="60"/>
  <c r="K167" i="60" s="1"/>
  <c r="I76" i="60"/>
  <c r="K76" i="60" s="1"/>
  <c r="I170" i="60"/>
  <c r="K170" i="60" s="1"/>
  <c r="I66" i="60"/>
  <c r="K66" i="60" s="1"/>
  <c r="I60" i="60"/>
  <c r="K60" i="60" s="1"/>
  <c r="I67" i="60"/>
  <c r="K67" i="60" s="1"/>
  <c r="I173" i="60"/>
  <c r="K173" i="60" s="1"/>
  <c r="I65" i="60"/>
  <c r="K65" i="60" s="1"/>
  <c r="I171" i="60"/>
  <c r="K171" i="60" s="1"/>
  <c r="I64" i="60"/>
  <c r="K64" i="60" s="1"/>
  <c r="I71" i="60"/>
  <c r="K71" i="60" s="1"/>
  <c r="I174" i="60"/>
  <c r="K174" i="60" s="1"/>
  <c r="I177" i="60"/>
  <c r="K177" i="60" s="1"/>
  <c r="I181" i="60"/>
  <c r="K181" i="60" s="1"/>
  <c r="I183" i="60"/>
  <c r="K183" i="60" s="1"/>
  <c r="I178" i="60"/>
  <c r="K178" i="60" s="1"/>
  <c r="I185" i="60"/>
  <c r="K185" i="60" s="1"/>
  <c r="I176" i="60"/>
  <c r="K176" i="60" s="1"/>
  <c r="I182" i="60"/>
  <c r="K182" i="60" s="1"/>
  <c r="K16" i="55"/>
  <c r="J63" i="57"/>
  <c r="I378" i="60"/>
  <c r="I6" i="60"/>
  <c r="K6" i="60" s="1"/>
  <c r="I381" i="60"/>
  <c r="I463" i="60"/>
  <c r="I460" i="60"/>
  <c r="I189" i="60"/>
  <c r="K189" i="60" s="1"/>
  <c r="I462" i="60"/>
  <c r="I461" i="60"/>
  <c r="I199" i="60"/>
  <c r="K199" i="60" s="1"/>
  <c r="I202" i="60"/>
  <c r="K202" i="60" s="1"/>
  <c r="I204" i="60"/>
  <c r="K204" i="60" s="1"/>
  <c r="I201" i="60"/>
  <c r="K201" i="60" s="1"/>
  <c r="I200" i="60"/>
  <c r="I203" i="60"/>
  <c r="K203" i="60" s="1"/>
  <c r="I382" i="60"/>
  <c r="I379" i="60"/>
  <c r="I380" i="60"/>
  <c r="I383" i="60"/>
  <c r="K383" i="60" s="1"/>
  <c r="I459" i="60"/>
  <c r="I187" i="60"/>
  <c r="K187" i="60" s="1"/>
  <c r="I11" i="60"/>
  <c r="K11" i="60" s="1"/>
  <c r="I9" i="60"/>
  <c r="K9" i="60" s="1"/>
  <c r="I7" i="60"/>
  <c r="K7" i="60" s="1"/>
  <c r="I190" i="60"/>
  <c r="K190" i="60" s="1"/>
  <c r="I188" i="60"/>
  <c r="K188" i="60" s="1"/>
  <c r="I186" i="60"/>
  <c r="K186" i="60" s="1"/>
  <c r="I10" i="60"/>
  <c r="K10" i="60" s="1"/>
  <c r="I8" i="60"/>
  <c r="K8" i="60" s="1"/>
  <c r="J50" i="57"/>
  <c r="J54" i="57"/>
  <c r="J55" i="57"/>
  <c r="J39" i="57"/>
  <c r="M8" i="39"/>
  <c r="J58" i="57"/>
  <c r="J59" i="57"/>
  <c r="J43" i="57"/>
  <c r="K343" i="55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K200" i="60"/>
  <c r="M9" i="39"/>
  <c r="K461" i="60"/>
  <c r="H69" i="14"/>
  <c r="G69" i="14"/>
  <c r="G7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B17" i="56"/>
  <c r="D17" i="56" s="1"/>
  <c r="D6" i="56"/>
  <c r="F20" i="56"/>
  <c r="B18" i="56"/>
  <c r="D18" i="56" s="1"/>
  <c r="F18" i="56"/>
  <c r="B20" i="56"/>
  <c r="D20" i="56" s="1"/>
  <c r="G8" i="56"/>
  <c r="H43" i="71"/>
  <c r="J14" i="71"/>
  <c r="I14" i="71"/>
  <c r="G43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588" i="55"/>
  <c r="J17" i="57"/>
  <c r="H23" i="57"/>
  <c r="H16" i="57"/>
  <c r="H18" i="57"/>
  <c r="B13" i="61"/>
  <c r="A28" i="56" l="1"/>
  <c r="D28" i="56"/>
  <c r="H20" i="56"/>
  <c r="H18" i="56"/>
  <c r="H24" i="56"/>
  <c r="H19" i="56"/>
  <c r="D27" i="56"/>
  <c r="D26" i="56"/>
  <c r="D25" i="56"/>
  <c r="D24" i="56"/>
  <c r="F33" i="56"/>
  <c r="G3" i="56"/>
  <c r="H17" i="56"/>
  <c r="G4" i="56"/>
  <c r="I523" i="60"/>
  <c r="I371" i="60"/>
  <c r="K462" i="60"/>
  <c r="K463" i="60"/>
  <c r="K460" i="60"/>
  <c r="K381" i="60"/>
  <c r="K380" i="60"/>
  <c r="K382" i="60"/>
  <c r="K37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44" i="71"/>
  <c r="J44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70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I192" i="60"/>
  <c r="B14" i="61"/>
  <c r="I15" i="14"/>
  <c r="J70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29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K459" i="60" l="1"/>
  <c r="H29" i="56"/>
  <c r="I16" i="71"/>
  <c r="J16" i="71"/>
  <c r="J16" i="14"/>
  <c r="G78" i="43"/>
  <c r="I16" i="14"/>
  <c r="G125" i="42"/>
  <c r="E140" i="42"/>
  <c r="H125" i="42"/>
  <c r="A31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I29" i="14" l="1"/>
  <c r="I29" i="71"/>
  <c r="J29" i="71"/>
  <c r="J29" i="14"/>
  <c r="I20" i="47"/>
  <c r="H20" i="47"/>
  <c r="J30" i="14" l="1"/>
  <c r="I30" i="71"/>
  <c r="J30" i="71"/>
  <c r="J31" i="71" s="1"/>
  <c r="I30" i="14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71" l="1"/>
  <c r="J32" i="71" s="1"/>
  <c r="I31" i="14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71" l="1"/>
  <c r="I33" i="71"/>
  <c r="J33" i="71"/>
  <c r="J34" i="71" s="1"/>
  <c r="J32" i="14"/>
  <c r="I32" i="14"/>
  <c r="I34" i="71" l="1"/>
  <c r="I35" i="71" s="1"/>
  <c r="I33" i="14"/>
  <c r="J33" i="14"/>
  <c r="J35" i="71" l="1"/>
  <c r="J36" i="71" s="1"/>
  <c r="J34" i="14"/>
  <c r="I34" i="14"/>
  <c r="I36" i="71" l="1"/>
  <c r="I37" i="71" s="1"/>
  <c r="I35" i="14"/>
  <c r="J35" i="14"/>
  <c r="J37" i="71" l="1"/>
  <c r="J38" i="71" s="1"/>
  <c r="J36" i="14"/>
  <c r="I36" i="14"/>
  <c r="I38" i="71" l="1"/>
  <c r="I39" i="71" s="1"/>
  <c r="I37" i="14"/>
  <c r="J37" i="14"/>
  <c r="J39" i="71" l="1"/>
  <c r="J40" i="71" s="1"/>
  <c r="J38" i="14"/>
  <c r="I38" i="14"/>
  <c r="I40" i="71" l="1"/>
  <c r="I41" i="71" s="1"/>
  <c r="I39" i="14"/>
  <c r="J39" i="14"/>
  <c r="J41" i="71" l="1"/>
  <c r="J42" i="71" s="1"/>
  <c r="J40" i="14"/>
  <c r="I40" i="14"/>
  <c r="I42" i="71" l="1"/>
  <c r="I41" i="14"/>
  <c r="J41" i="14"/>
  <c r="J42" i="14" l="1"/>
  <c r="I42" i="14"/>
  <c r="I43" i="14" l="1"/>
  <c r="J43" i="14"/>
  <c r="J44" i="14" l="1"/>
  <c r="I44" i="14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J50" i="14" s="1"/>
  <c r="I50" i="14" l="1"/>
  <c r="I51" i="14" s="1"/>
  <c r="J51" i="14" l="1"/>
  <c r="J52" i="14" s="1"/>
  <c r="I52" i="14" l="1"/>
  <c r="I53" i="14" s="1"/>
  <c r="J53" i="14" l="1"/>
  <c r="J54" i="14" s="1"/>
  <c r="I54" i="14" l="1"/>
  <c r="I55" i="14" s="1"/>
  <c r="J55" i="14" l="1"/>
  <c r="J56" i="14" s="1"/>
  <c r="I56" i="14" l="1"/>
  <c r="I57" i="14" s="1"/>
  <c r="J57" i="14" l="1"/>
  <c r="J58" i="14" s="1"/>
  <c r="I58" i="14" l="1"/>
  <c r="I59" i="14" s="1"/>
  <c r="J59" i="14" l="1"/>
  <c r="J60" i="14" s="1"/>
  <c r="I60" i="14" l="1"/>
  <c r="I61" i="14" s="1"/>
  <c r="K378" i="60"/>
  <c r="J61" i="14" l="1"/>
  <c r="J62" i="14" s="1"/>
  <c r="I62" i="14" l="1"/>
  <c r="I63" i="14" s="1"/>
  <c r="J63" i="14" l="1"/>
  <c r="J64" i="14" s="1"/>
  <c r="I64" i="14" l="1"/>
  <c r="I65" i="14" s="1"/>
  <c r="J65" i="14" l="1"/>
  <c r="J66" i="14" s="1"/>
  <c r="I66" i="14" l="1"/>
  <c r="I67" i="14" s="1"/>
  <c r="J67" i="14" l="1"/>
  <c r="F42" i="57" l="1"/>
  <c r="J42" i="57" l="1"/>
  <c r="J74" i="57" s="1"/>
  <c r="H42" i="57"/>
  <c r="H74" i="57" l="1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61" i="60" l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 s="1"/>
  <c r="K17" i="34"/>
  <c r="A19" i="55" l="1"/>
  <c r="B20" i="55"/>
  <c r="A18" i="55"/>
  <c r="K11" i="34"/>
  <c r="B21" i="55" l="1"/>
  <c r="A20" i="55"/>
  <c r="I10" i="73"/>
  <c r="I52" i="73" s="1"/>
  <c r="F42" i="15" a="1"/>
  <c r="F42" i="15" s="1"/>
  <c r="E42" i="15" a="1"/>
  <c r="E42" i="15" s="1"/>
  <c r="K3314" i="34"/>
  <c r="J196" i="55" s="1" a="1"/>
  <c r="J196" i="55" s="1"/>
  <c r="J481" i="55" a="1"/>
  <c r="J481" i="55" s="1"/>
  <c r="J318" i="55" a="1"/>
  <c r="J318" i="55" s="1"/>
  <c r="J259" i="55" a="1"/>
  <c r="J259" i="55" s="1"/>
  <c r="J208" i="55" a="1"/>
  <c r="J208" i="55" s="1"/>
  <c r="J472" i="55" a="1"/>
  <c r="J472" i="55" s="1"/>
  <c r="J367" i="55" a="1"/>
  <c r="J367" i="55" s="1"/>
  <c r="J377" i="55" a="1"/>
  <c r="J377" i="55" s="1"/>
  <c r="J34" i="55" a="1"/>
  <c r="J34" i="55" s="1"/>
  <c r="J564" i="55" a="1"/>
  <c r="J564" i="55" s="1"/>
  <c r="J295" i="55" a="1"/>
  <c r="J295" i="55" s="1"/>
  <c r="J156" i="55" a="1"/>
  <c r="J156" i="55" s="1"/>
  <c r="F54" i="15" a="1"/>
  <c r="F54" i="15" s="1"/>
  <c r="J83" i="55" a="1"/>
  <c r="J83" i="55" s="1"/>
  <c r="J243" i="55" a="1"/>
  <c r="J243" i="55" s="1"/>
  <c r="J48" i="55" a="1"/>
  <c r="J48" i="55" s="1"/>
  <c r="J460" i="55" a="1"/>
  <c r="J460" i="55" s="1"/>
  <c r="J387" i="55" a="1"/>
  <c r="J387" i="55" s="1"/>
  <c r="J523" i="55" a="1"/>
  <c r="J523" i="55" s="1"/>
  <c r="J80" i="55" a="1"/>
  <c r="J80" i="55" s="1"/>
  <c r="J81" i="55" a="1"/>
  <c r="J81" i="55" s="1"/>
  <c r="J507" i="55" a="1"/>
  <c r="J507" i="55" s="1"/>
  <c r="F50" i="15" a="1"/>
  <c r="F50" i="15" s="1"/>
  <c r="J484" i="55" a="1"/>
  <c r="J484" i="55" s="1"/>
  <c r="J102" i="55" a="1"/>
  <c r="J102" i="55" s="1"/>
  <c r="J246" i="55" a="1"/>
  <c r="J246" i="55" s="1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F21" i="15" l="1" a="1"/>
  <c r="F21" i="15" s="1"/>
  <c r="E21" i="15" a="1"/>
  <c r="E21" i="15" s="1"/>
  <c r="B22" i="55"/>
  <c r="A21" i="55"/>
  <c r="J352" i="55" a="1"/>
  <c r="J352" i="55" s="1"/>
  <c r="H353" i="55" a="1"/>
  <c r="H353" i="55" s="1"/>
  <c r="H352" i="55" a="1"/>
  <c r="H352" i="55" s="1"/>
  <c r="H354" i="55" a="1"/>
  <c r="H354" i="55" s="1"/>
  <c r="J353" i="55" a="1"/>
  <c r="J353" i="55" s="1"/>
  <c r="F48" i="15" a="1"/>
  <c r="F48" i="15" s="1"/>
  <c r="J354" i="55" a="1"/>
  <c r="J354" i="55" s="1"/>
  <c r="J357" i="55" a="1"/>
  <c r="J357" i="55" s="1"/>
  <c r="J511" i="55" a="1"/>
  <c r="J511" i="55" s="1"/>
  <c r="J383" i="55" a="1"/>
  <c r="J383" i="55" s="1"/>
  <c r="J359" i="55" a="1"/>
  <c r="J359" i="55" s="1"/>
  <c r="J571" i="55" a="1"/>
  <c r="J571" i="55" s="1"/>
  <c r="J402" i="55" a="1"/>
  <c r="J402" i="55" s="1"/>
  <c r="J313" i="55" a="1"/>
  <c r="J313" i="55" s="1"/>
  <c r="J416" i="55" a="1"/>
  <c r="J416" i="55" s="1"/>
  <c r="J466" i="55" a="1"/>
  <c r="J466" i="55" s="1"/>
  <c r="J439" i="55" a="1"/>
  <c r="J439" i="55" s="1"/>
  <c r="J253" i="55" a="1"/>
  <c r="J253" i="55" s="1"/>
  <c r="J543" i="55" a="1"/>
  <c r="J543" i="55" s="1"/>
  <c r="J170" i="55" a="1"/>
  <c r="J170" i="55" s="1"/>
  <c r="J537" i="55" a="1"/>
  <c r="J537" i="55" s="1"/>
  <c r="J423" i="55" a="1"/>
  <c r="J423" i="55" s="1"/>
  <c r="J474" i="55" a="1"/>
  <c r="J474" i="55" s="1"/>
  <c r="J120" i="55" a="1"/>
  <c r="J120" i="55" s="1"/>
  <c r="J51" i="55" a="1"/>
  <c r="J51" i="55" s="1"/>
  <c r="J389" i="55" a="1"/>
  <c r="J389" i="55" s="1"/>
  <c r="J371" i="55" a="1"/>
  <c r="J371" i="55" s="1"/>
  <c r="J424" i="55" a="1"/>
  <c r="J424" i="55" s="1"/>
  <c r="J97" i="55" a="1"/>
  <c r="J97" i="55" s="1"/>
  <c r="J581" i="55" a="1"/>
  <c r="J581" i="55" s="1"/>
  <c r="J403" i="55" a="1"/>
  <c r="J403" i="55" s="1"/>
  <c r="J322" i="55" a="1"/>
  <c r="J322" i="55" s="1"/>
  <c r="J90" i="55" a="1"/>
  <c r="J90" i="55" s="1"/>
  <c r="J331" i="55" a="1"/>
  <c r="J331" i="55" s="1"/>
  <c r="J355" i="55" a="1"/>
  <c r="J355" i="55" s="1"/>
  <c r="J157" i="55" a="1"/>
  <c r="J157" i="55" s="1"/>
  <c r="J532" i="55" a="1"/>
  <c r="J532" i="55" s="1"/>
  <c r="J122" i="55" a="1"/>
  <c r="J122" i="55" s="1"/>
  <c r="J480" i="55" a="1"/>
  <c r="J480" i="55" s="1"/>
  <c r="J45" i="55" a="1"/>
  <c r="J45" i="55" s="1"/>
  <c r="J167" i="55" a="1"/>
  <c r="J167" i="55" s="1"/>
  <c r="J347" i="55" a="1"/>
  <c r="J347" i="55" s="1"/>
  <c r="J105" i="55" a="1"/>
  <c r="J105" i="55" s="1"/>
  <c r="J379" i="55" a="1"/>
  <c r="J379" i="55" s="1"/>
  <c r="J503" i="55" a="1"/>
  <c r="J503" i="55" s="1"/>
  <c r="J226" i="55" a="1"/>
  <c r="J226" i="55" s="1"/>
  <c r="J585" i="55" a="1"/>
  <c r="J585" i="55" s="1"/>
  <c r="J397" i="55" a="1"/>
  <c r="J397" i="55" s="1"/>
  <c r="J428" i="55" a="1"/>
  <c r="J428" i="55" s="1"/>
  <c r="J108" i="55" a="1"/>
  <c r="J108" i="55" s="1"/>
  <c r="J280" i="55" a="1"/>
  <c r="J280" i="55" s="1"/>
  <c r="J491" i="55" a="1"/>
  <c r="J491" i="55" s="1"/>
  <c r="J452" i="55" a="1"/>
  <c r="J452" i="55" s="1"/>
  <c r="J26" i="55" a="1"/>
  <c r="J26" i="55" s="1"/>
  <c r="J30" i="55" a="1"/>
  <c r="J30" i="55" s="1"/>
  <c r="J544" i="55" a="1"/>
  <c r="J544" i="55" s="1"/>
  <c r="J315" i="55" a="1"/>
  <c r="J315" i="55" s="1"/>
  <c r="J258" i="55" a="1"/>
  <c r="J258" i="55" s="1"/>
  <c r="J55" i="55" a="1"/>
  <c r="J55" i="55" s="1"/>
  <c r="J78" i="55" a="1"/>
  <c r="J78" i="55" s="1"/>
  <c r="J475" i="55" a="1"/>
  <c r="J475" i="55" s="1"/>
  <c r="J463" i="55" a="1"/>
  <c r="J463" i="55" s="1"/>
  <c r="J44" i="55" a="1"/>
  <c r="J44" i="55" s="1"/>
  <c r="J66" i="55" a="1"/>
  <c r="J66" i="55" s="1"/>
  <c r="J438" i="55" a="1"/>
  <c r="J438" i="55" s="1"/>
  <c r="J63" i="55" a="1"/>
  <c r="J63" i="55" s="1"/>
  <c r="J158" i="55" a="1"/>
  <c r="J158" i="55" s="1"/>
  <c r="J510" i="55" a="1"/>
  <c r="J510" i="55" s="1"/>
  <c r="J348" i="55" a="1"/>
  <c r="J348" i="55" s="1"/>
  <c r="J400" i="55" a="1"/>
  <c r="J400" i="55" s="1"/>
  <c r="J237" i="55" a="1"/>
  <c r="J237" i="55" s="1"/>
  <c r="J220" i="55" a="1"/>
  <c r="J220" i="55" s="1"/>
  <c r="J296" i="55" a="1"/>
  <c r="J296" i="55" s="1"/>
  <c r="J339" i="55" a="1"/>
  <c r="J339" i="55" s="1"/>
  <c r="J252" i="55" a="1"/>
  <c r="J252" i="55" s="1"/>
  <c r="J478" i="55" a="1"/>
  <c r="J478" i="55" s="1"/>
  <c r="J320" i="55" a="1"/>
  <c r="J320" i="55" s="1"/>
  <c r="J527" i="55" a="1"/>
  <c r="J527" i="55" s="1"/>
  <c r="J358" i="55" a="1"/>
  <c r="J358" i="55" s="1"/>
  <c r="J95" i="55" a="1"/>
  <c r="J95" i="55" s="1"/>
  <c r="J405" i="55" a="1"/>
  <c r="J405" i="55" s="1"/>
  <c r="J290" i="55" a="1"/>
  <c r="J290" i="55" s="1"/>
  <c r="J149" i="55" a="1"/>
  <c r="J149" i="55" s="1"/>
  <c r="J160" i="55" a="1"/>
  <c r="J160" i="55" s="1"/>
  <c r="J376" i="55" a="1"/>
  <c r="J376" i="55" s="1"/>
  <c r="J192" i="55" a="1"/>
  <c r="J192" i="55" s="1"/>
  <c r="J106" i="55" a="1"/>
  <c r="J106" i="55" s="1"/>
  <c r="J566" i="55" a="1"/>
  <c r="J566" i="55" s="1"/>
  <c r="J29" i="55" a="1"/>
  <c r="J29" i="55" s="1"/>
  <c r="J161" i="55" a="1"/>
  <c r="J161" i="55" s="1"/>
  <c r="J441" i="55" a="1"/>
  <c r="J441" i="55" s="1"/>
  <c r="J228" i="55" a="1"/>
  <c r="J228" i="55" s="1"/>
  <c r="J410" i="55" a="1"/>
  <c r="J410" i="55" s="1"/>
  <c r="J57" i="55" a="1"/>
  <c r="J57" i="55" s="1"/>
  <c r="J411" i="55" a="1"/>
  <c r="J411" i="55" s="1"/>
  <c r="J292" i="55" a="1"/>
  <c r="J292" i="55" s="1"/>
  <c r="F52" i="15" a="1"/>
  <c r="F52" i="15" s="1"/>
  <c r="F51" i="15" a="1"/>
  <c r="F51" i="15" s="1"/>
  <c r="J489" i="55" a="1"/>
  <c r="J489" i="55" s="1"/>
  <c r="J203" i="55" a="1"/>
  <c r="J203" i="55" s="1"/>
  <c r="J104" i="55" a="1"/>
  <c r="J104" i="55" s="1"/>
  <c r="J94" i="55" a="1"/>
  <c r="J94" i="55" s="1"/>
  <c r="J356" i="55" a="1"/>
  <c r="J356" i="55" s="1"/>
  <c r="J146" i="55" a="1"/>
  <c r="J146" i="55" s="1"/>
  <c r="J278" i="55" a="1"/>
  <c r="J278" i="55" s="1"/>
  <c r="J153" i="55" a="1"/>
  <c r="J153" i="55" s="1"/>
  <c r="J542" i="55" a="1"/>
  <c r="J542" i="55" s="1"/>
  <c r="J479" i="55" a="1"/>
  <c r="J479" i="55" s="1"/>
  <c r="J412" i="55" a="1"/>
  <c r="J412" i="55" s="1"/>
  <c r="J430" i="55" a="1"/>
  <c r="J430" i="55" s="1"/>
  <c r="J311" i="55" a="1"/>
  <c r="J311" i="55" s="1"/>
  <c r="J218" i="55" a="1"/>
  <c r="J218" i="55" s="1"/>
  <c r="J144" i="55" a="1"/>
  <c r="J144" i="55" s="1"/>
  <c r="J504" i="55" a="1"/>
  <c r="J504" i="55" s="1"/>
  <c r="J126" i="55" a="1"/>
  <c r="J126" i="55" s="1"/>
  <c r="J77" i="55" a="1"/>
  <c r="J77" i="55" s="1"/>
  <c r="J135" i="55" a="1"/>
  <c r="J135" i="55" s="1"/>
  <c r="J209" i="55" a="1"/>
  <c r="J209" i="55" s="1"/>
  <c r="J115" i="55" a="1"/>
  <c r="J115" i="55" s="1"/>
  <c r="J140" i="55" a="1"/>
  <c r="J140" i="55" s="1"/>
  <c r="J137" i="55" a="1"/>
  <c r="J137" i="55" s="1"/>
  <c r="J188" i="55" a="1"/>
  <c r="J188" i="55" s="1"/>
  <c r="J413" i="55" a="1"/>
  <c r="J413" i="55" s="1"/>
  <c r="J176" i="55" a="1"/>
  <c r="J176" i="55" s="1"/>
  <c r="J191" i="55" a="1"/>
  <c r="J191" i="55" s="1"/>
  <c r="J224" i="55" a="1"/>
  <c r="J224" i="55" s="1"/>
  <c r="J248" i="55" a="1"/>
  <c r="J248" i="55" s="1"/>
  <c r="J186" i="55" a="1"/>
  <c r="J186" i="55" s="1"/>
  <c r="J117" i="55" a="1"/>
  <c r="J117" i="55" s="1"/>
  <c r="J528" i="55" a="1"/>
  <c r="J528" i="55" s="1"/>
  <c r="J281" i="55" a="1"/>
  <c r="J281" i="55" s="1"/>
  <c r="J61" i="55" a="1"/>
  <c r="J61" i="55" s="1"/>
  <c r="J20" i="55" a="1"/>
  <c r="J20" i="55" s="1"/>
  <c r="J547" i="55" a="1"/>
  <c r="J547" i="55" s="1"/>
  <c r="J96" i="55" a="1"/>
  <c r="J96" i="55" s="1"/>
  <c r="J549" i="55" a="1"/>
  <c r="J549" i="55" s="1"/>
  <c r="J548" i="55" a="1"/>
  <c r="J548" i="55" s="1"/>
  <c r="J554" i="55" a="1"/>
  <c r="J554" i="55" s="1"/>
  <c r="J395" i="55" a="1"/>
  <c r="J395" i="55" s="1"/>
  <c r="J47" i="55" a="1"/>
  <c r="J47" i="55" s="1"/>
  <c r="J288" i="55" a="1"/>
  <c r="J288" i="55" s="1"/>
  <c r="J369" i="55" a="1"/>
  <c r="J369" i="55" s="1"/>
  <c r="J92" i="55" a="1"/>
  <c r="J92" i="55" s="1"/>
  <c r="J141" i="55" a="1"/>
  <c r="J141" i="55" s="1"/>
  <c r="J310" i="55" a="1"/>
  <c r="J310" i="55" s="1"/>
  <c r="J569" i="55" a="1"/>
  <c r="J569" i="55" s="1"/>
  <c r="J583" i="55" a="1"/>
  <c r="J583" i="55" s="1"/>
  <c r="J514" i="55" a="1"/>
  <c r="J514" i="55" s="1"/>
  <c r="J391" i="55" a="1"/>
  <c r="J391" i="55" s="1"/>
  <c r="J131" i="55" a="1"/>
  <c r="J131" i="55" s="1"/>
  <c r="J190" i="55" a="1"/>
  <c r="J190" i="55" s="1"/>
  <c r="J529" i="55" a="1"/>
  <c r="J529" i="55" s="1"/>
  <c r="J185" i="55" a="1"/>
  <c r="J185" i="55" s="1"/>
  <c r="J216" i="55" a="1"/>
  <c r="J216" i="55" s="1"/>
  <c r="J204" i="55" a="1"/>
  <c r="J204" i="55" s="1"/>
  <c r="J71" i="55" a="1"/>
  <c r="J71" i="55" s="1"/>
  <c r="J267" i="55" a="1"/>
  <c r="J267" i="55" s="1"/>
  <c r="J453" i="55" a="1"/>
  <c r="J453" i="55" s="1"/>
  <c r="J337" i="55" a="1"/>
  <c r="J337" i="55" s="1"/>
  <c r="J471" i="55" a="1"/>
  <c r="J471" i="55" s="1"/>
  <c r="J179" i="55" a="1"/>
  <c r="J179" i="55" s="1"/>
  <c r="J145" i="55" a="1"/>
  <c r="J145" i="55" s="1"/>
  <c r="J142" i="55" a="1"/>
  <c r="J142" i="55" s="1"/>
  <c r="J198" i="55" a="1"/>
  <c r="J198" i="55" s="1"/>
  <c r="J448" i="55" a="1"/>
  <c r="J448" i="55" s="1"/>
  <c r="J266" i="55" a="1"/>
  <c r="J266" i="55" s="1"/>
  <c r="J524" i="55" a="1"/>
  <c r="J524" i="55" s="1"/>
  <c r="J255" i="55" a="1"/>
  <c r="J255" i="55" s="1"/>
  <c r="J88" i="55" a="1"/>
  <c r="J88" i="55" s="1"/>
  <c r="J164" i="55" a="1"/>
  <c r="J164" i="55" s="1"/>
  <c r="J567" i="55" a="1"/>
  <c r="J567" i="55" s="1"/>
  <c r="F53" i="15" a="1"/>
  <c r="F53" i="15" s="1"/>
  <c r="J159" i="55" a="1"/>
  <c r="J159" i="55" s="1"/>
  <c r="J162" i="55" a="1"/>
  <c r="J162" i="55" s="1"/>
  <c r="J50" i="55" a="1"/>
  <c r="J50" i="55" s="1"/>
  <c r="J49" i="55" a="1"/>
  <c r="J49" i="55" s="1"/>
  <c r="J525" i="55" a="1"/>
  <c r="J525" i="55" s="1"/>
  <c r="J300" i="55" a="1"/>
  <c r="J300" i="55" s="1"/>
  <c r="J556" i="55" a="1"/>
  <c r="J556" i="55" s="1"/>
  <c r="J434" i="55" a="1"/>
  <c r="J434" i="55" s="1"/>
  <c r="J236" i="55" a="1"/>
  <c r="J236" i="55" s="1"/>
  <c r="J431" i="55" a="1"/>
  <c r="J431" i="55" s="1"/>
  <c r="J541" i="55" a="1"/>
  <c r="J541" i="55" s="1"/>
  <c r="J521" i="55" a="1"/>
  <c r="J521" i="55" s="1"/>
  <c r="J419" i="55" a="1"/>
  <c r="J419" i="55" s="1"/>
  <c r="J305" i="55" a="1"/>
  <c r="J305" i="55" s="1"/>
  <c r="J384" i="55" a="1"/>
  <c r="J384" i="55" s="1"/>
  <c r="J52" i="55" a="1"/>
  <c r="J52" i="55" s="1"/>
  <c r="J123" i="55" a="1"/>
  <c r="J123" i="55" s="1"/>
  <c r="J43" i="55" a="1"/>
  <c r="J43" i="55" s="1"/>
  <c r="J250" i="55" a="1"/>
  <c r="J250" i="55" s="1"/>
  <c r="J154" i="55" a="1"/>
  <c r="J154" i="55" s="1"/>
  <c r="J101" i="55" a="1"/>
  <c r="J101" i="55" s="1"/>
  <c r="J582" i="55" a="1"/>
  <c r="J582" i="55" s="1"/>
  <c r="J68" i="55" a="1"/>
  <c r="J68" i="55" s="1"/>
  <c r="J576" i="55" a="1"/>
  <c r="J576" i="55" s="1"/>
  <c r="J530" i="55" a="1"/>
  <c r="J530" i="55" s="1"/>
  <c r="J152" i="55" a="1"/>
  <c r="J152" i="55" s="1"/>
  <c r="J372" i="55" a="1"/>
  <c r="J372" i="55" s="1"/>
  <c r="J436" i="55" a="1"/>
  <c r="J436" i="55" s="1"/>
  <c r="J531" i="55" a="1"/>
  <c r="J531" i="55" s="1"/>
  <c r="J260" i="55" a="1"/>
  <c r="J260" i="55" s="1"/>
  <c r="J393" i="55" a="1"/>
  <c r="J393" i="55" s="1"/>
  <c r="J319" i="55" a="1"/>
  <c r="J319" i="55" s="1"/>
  <c r="J177" i="55" a="1"/>
  <c r="J177" i="55" s="1"/>
  <c r="J235" i="55" a="1"/>
  <c r="J235" i="55" s="1"/>
  <c r="J363" i="55" a="1"/>
  <c r="J363" i="55" s="1"/>
  <c r="J212" i="55" a="1"/>
  <c r="J212" i="55" s="1"/>
  <c r="J325" i="55" a="1"/>
  <c r="J325" i="55" s="1"/>
  <c r="H330" i="55" a="1"/>
  <c r="H330" i="55" s="1"/>
  <c r="H326" i="55" a="1"/>
  <c r="H326" i="55" s="1"/>
  <c r="J329" i="55" a="1"/>
  <c r="J329" i="55" s="1"/>
  <c r="H329" i="55" a="1"/>
  <c r="H329" i="55" s="1"/>
  <c r="H325" i="55" a="1"/>
  <c r="H325" i="55" s="1"/>
  <c r="J328" i="55" a="1"/>
  <c r="J328" i="55" s="1"/>
  <c r="H328" i="55" a="1"/>
  <c r="H328" i="55" s="1"/>
  <c r="H19" i="55" a="1"/>
  <c r="H19" i="55" s="1"/>
  <c r="J327" i="55" a="1"/>
  <c r="J327" i="55" s="1"/>
  <c r="J19" i="55" a="1"/>
  <c r="J19" i="55" s="1"/>
  <c r="H327" i="55" a="1"/>
  <c r="H327" i="55" s="1"/>
  <c r="J330" i="55" a="1"/>
  <c r="J330" i="55" s="1"/>
  <c r="J326" i="55" a="1"/>
  <c r="J326" i="55" s="1"/>
  <c r="J445" i="55" a="1"/>
  <c r="J445" i="55" s="1"/>
  <c r="J205" i="55" a="1"/>
  <c r="J205" i="55" s="1"/>
  <c r="J362" i="55" a="1"/>
  <c r="J362" i="55" s="1"/>
  <c r="J265" i="55" a="1"/>
  <c r="J265" i="55" s="1"/>
  <c r="J225" i="55" a="1"/>
  <c r="J225" i="55" s="1"/>
  <c r="J241" i="55" a="1"/>
  <c r="J241" i="55" s="1"/>
  <c r="J242" i="55" a="1"/>
  <c r="J242" i="55" s="1"/>
  <c r="J317" i="55" a="1"/>
  <c r="J317" i="55" s="1"/>
  <c r="J119" i="55" a="1"/>
  <c r="J119" i="55" s="1"/>
  <c r="J129" i="55" a="1"/>
  <c r="J129" i="55" s="1"/>
  <c r="J533" i="55" a="1"/>
  <c r="J533" i="55" s="1"/>
  <c r="J456" i="55" a="1"/>
  <c r="J456" i="55" s="1"/>
  <c r="J381" i="55" a="1"/>
  <c r="J381" i="55" s="1"/>
  <c r="J323" i="55" a="1"/>
  <c r="J323" i="55" s="1"/>
  <c r="J254" i="55" a="1"/>
  <c r="J254" i="55" s="1"/>
  <c r="J490" i="55" a="1"/>
  <c r="J490" i="55" s="1"/>
  <c r="J233" i="55" a="1"/>
  <c r="J233" i="55" s="1"/>
  <c r="J307" i="55" a="1"/>
  <c r="J307" i="55" s="1"/>
  <c r="J100" i="55" a="1"/>
  <c r="J100" i="55" s="1"/>
  <c r="J433" i="55" a="1"/>
  <c r="J433" i="55" s="1"/>
  <c r="J13" i="55" a="1"/>
  <c r="J13" i="55" s="1"/>
  <c r="J552" i="55" a="1"/>
  <c r="J552" i="55" s="1"/>
  <c r="J516" i="55" a="1"/>
  <c r="J516" i="55" s="1"/>
  <c r="J444" i="55" a="1"/>
  <c r="J444" i="55" s="1"/>
  <c r="J502" i="55" a="1"/>
  <c r="J502" i="55" s="1"/>
  <c r="J65" i="55" a="1"/>
  <c r="J65" i="55" s="1"/>
  <c r="J37" i="55" a="1"/>
  <c r="J37" i="55" s="1"/>
  <c r="H37" i="55" a="1"/>
  <c r="H37" i="55" s="1"/>
  <c r="F47" i="70" a="1"/>
  <c r="F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J487" i="55" a="1"/>
  <c r="J487" i="55" s="1"/>
  <c r="J111" i="55" a="1"/>
  <c r="J111" i="55" s="1"/>
  <c r="J103" i="55" a="1"/>
  <c r="J103" i="55" s="1"/>
  <c r="J155" i="55" a="1"/>
  <c r="J155" i="55" s="1"/>
  <c r="F46" i="15" a="1"/>
  <c r="F46" i="15" s="1"/>
  <c r="J492" i="55" a="1"/>
  <c r="J492" i="55" s="1"/>
  <c r="J294" i="55" a="1"/>
  <c r="J294" i="55" s="1"/>
  <c r="J398" i="55" a="1"/>
  <c r="J398" i="55" s="1"/>
  <c r="J214" i="55" a="1"/>
  <c r="J214" i="55" s="1"/>
  <c r="J366" i="55" a="1"/>
  <c r="J366" i="55" s="1"/>
  <c r="J573" i="55" a="1"/>
  <c r="J573" i="55" s="1"/>
  <c r="J195" i="55" a="1"/>
  <c r="J195" i="55" s="1"/>
  <c r="J74" i="55" a="1"/>
  <c r="J74" i="55" s="1"/>
  <c r="J221" i="55" a="1"/>
  <c r="J221" i="55" s="1"/>
  <c r="J69" i="55" a="1"/>
  <c r="J69" i="55" s="1"/>
  <c r="J223" i="55" a="1"/>
  <c r="J223" i="55" s="1"/>
  <c r="J28" i="55" a="1"/>
  <c r="J28" i="55" s="1"/>
  <c r="J169" i="55" a="1"/>
  <c r="J169" i="55" s="1"/>
  <c r="J468" i="55" a="1"/>
  <c r="J468" i="55" s="1"/>
  <c r="J349" i="55" a="1"/>
  <c r="J349" i="55" s="1"/>
  <c r="J467" i="55" a="1"/>
  <c r="J467" i="55" s="1"/>
  <c r="J506" i="55" a="1"/>
  <c r="J506" i="55" s="1"/>
  <c r="J415" i="55" a="1"/>
  <c r="J415" i="55" s="1"/>
  <c r="J340" i="55" a="1"/>
  <c r="J340" i="55" s="1"/>
  <c r="J247" i="55" a="1"/>
  <c r="J247" i="55" s="1"/>
  <c r="J21" i="55" a="1"/>
  <c r="J21" i="55" s="1"/>
  <c r="J27" i="55" a="1"/>
  <c r="J27" i="55" s="1"/>
  <c r="J285" i="55" a="1"/>
  <c r="J285" i="55" s="1"/>
  <c r="J163" i="55" a="1"/>
  <c r="J163" i="55" s="1"/>
  <c r="I126" i="42"/>
  <c r="E24" i="70" a="1"/>
  <c r="E24" i="70" s="1"/>
  <c r="F19" i="15" a="1"/>
  <c r="F19" i="15" s="1"/>
  <c r="F20" i="70" a="1"/>
  <c r="F20" i="70" s="1"/>
  <c r="H381" i="55" a="1"/>
  <c r="H381" i="55" s="1"/>
  <c r="E41" i="15" a="1"/>
  <c r="E41" i="15" s="1"/>
  <c r="E43" i="15" s="1"/>
  <c r="F8" i="70" a="1"/>
  <c r="F8" i="70" s="1"/>
  <c r="H190" i="55" a="1"/>
  <c r="H190" i="55" s="1"/>
  <c r="L190" i="55" s="1"/>
  <c r="H98" i="55" a="1"/>
  <c r="H98" i="55" s="1"/>
  <c r="H101" i="55" a="1"/>
  <c r="H101" i="55" s="1"/>
  <c r="H54" i="55" a="1"/>
  <c r="H54" i="55" s="1"/>
  <c r="H164" i="55" a="1"/>
  <c r="H164" i="55" s="1"/>
  <c r="H144" i="55" a="1"/>
  <c r="H144" i="55" s="1"/>
  <c r="L144" i="55" s="1"/>
  <c r="H173" i="55" a="1"/>
  <c r="H173" i="55" s="1"/>
  <c r="E18" i="70" a="1"/>
  <c r="E18" i="70" s="1"/>
  <c r="H111" i="55" a="1"/>
  <c r="H111" i="55" s="1"/>
  <c r="L111" i="55" s="1"/>
  <c r="H218" i="55" a="1"/>
  <c r="H218" i="55" s="1"/>
  <c r="L218" i="55" s="1"/>
  <c r="E26" i="70" a="1"/>
  <c r="E26" i="70" s="1"/>
  <c r="H279" i="55" a="1"/>
  <c r="H279" i="55" s="1"/>
  <c r="H317" i="55" a="1"/>
  <c r="H317" i="55" s="1"/>
  <c r="H205" i="55" a="1"/>
  <c r="H205" i="55" s="1"/>
  <c r="L205" i="55" s="1"/>
  <c r="H216" i="55" a="1"/>
  <c r="H216" i="55" s="1"/>
  <c r="L216" i="55" s="1"/>
  <c r="H131" i="55" a="1"/>
  <c r="H131" i="55" s="1"/>
  <c r="L131" i="55" s="1"/>
  <c r="H406" i="55" a="1"/>
  <c r="H406" i="55" s="1"/>
  <c r="H562" i="55" a="1"/>
  <c r="H562" i="55" s="1"/>
  <c r="H226" i="55" a="1"/>
  <c r="H226" i="55" s="1"/>
  <c r="L226" i="55" s="1"/>
  <c r="E50" i="15" a="1"/>
  <c r="E50" i="15" s="1"/>
  <c r="E8" i="70" a="1"/>
  <c r="E8" i="70" s="1"/>
  <c r="H247" i="55" a="1"/>
  <c r="H247" i="55" s="1"/>
  <c r="H203" i="55" a="1"/>
  <c r="H203" i="55" s="1"/>
  <c r="L203" i="55" s="1"/>
  <c r="H254" i="55" a="1"/>
  <c r="H254" i="55" s="1"/>
  <c r="H412" i="55" a="1"/>
  <c r="H412" i="55" s="1"/>
  <c r="H466" i="55" a="1"/>
  <c r="H466" i="55" s="1"/>
  <c r="L466" i="55" s="1"/>
  <c r="H527" i="55" a="1"/>
  <c r="H527" i="55" s="1"/>
  <c r="L527" i="55" s="1"/>
  <c r="H364" i="55" a="1"/>
  <c r="H364" i="55" s="1"/>
  <c r="H558" i="55" a="1"/>
  <c r="H558" i="55" s="1"/>
  <c r="H542" i="55" a="1"/>
  <c r="H542" i="55" s="1"/>
  <c r="H417" i="55" a="1"/>
  <c r="H417" i="55" s="1"/>
  <c r="H316" i="55" a="1"/>
  <c r="H316" i="55" s="1"/>
  <c r="H474" i="55" a="1"/>
  <c r="H474" i="55" s="1"/>
  <c r="L474" i="55" s="1"/>
  <c r="E21" i="70" a="1"/>
  <c r="E21" i="70" s="1"/>
  <c r="H288" i="55" a="1"/>
  <c r="H288" i="55" s="1"/>
  <c r="H57" i="55" a="1"/>
  <c r="H57" i="55" s="1"/>
  <c r="H75" i="55" a="1"/>
  <c r="H75" i="55" s="1"/>
  <c r="H108" i="55" a="1"/>
  <c r="H108" i="55" s="1"/>
  <c r="L108" i="55" s="1"/>
  <c r="H48" i="55" a="1"/>
  <c r="H48" i="55" s="1"/>
  <c r="L48" i="55" s="1"/>
  <c r="H213" i="55" a="1"/>
  <c r="H213" i="55" s="1"/>
  <c r="H313" i="55" a="1"/>
  <c r="H313" i="55" s="1"/>
  <c r="L313" i="55" s="1"/>
  <c r="H200" i="55" a="1"/>
  <c r="H200" i="55" s="1"/>
  <c r="H368" i="55" a="1"/>
  <c r="H368" i="55" s="1"/>
  <c r="H426" i="55" a="1"/>
  <c r="H426" i="55" s="1"/>
  <c r="H525" i="55" a="1"/>
  <c r="H525" i="55" s="1"/>
  <c r="F10" i="12" a="1"/>
  <c r="F10" i="12" s="1"/>
  <c r="H238" i="55" a="1"/>
  <c r="H238" i="55" s="1"/>
  <c r="H176" i="55" a="1"/>
  <c r="H176" i="55" s="1"/>
  <c r="L176" i="55" s="1"/>
  <c r="H434" i="55" a="1"/>
  <c r="H434" i="55" s="1"/>
  <c r="H531" i="55" a="1"/>
  <c r="H531" i="55" s="1"/>
  <c r="H63" i="55" a="1"/>
  <c r="H63" i="55" s="1"/>
  <c r="L63" i="55" s="1"/>
  <c r="H110" i="55" a="1"/>
  <c r="H110" i="55" s="1"/>
  <c r="H46" i="55" a="1"/>
  <c r="H46" i="55" s="1"/>
  <c r="E25" i="70" a="1"/>
  <c r="E25" i="70" s="1"/>
  <c r="H420" i="55" a="1"/>
  <c r="H420" i="55" s="1"/>
  <c r="H526" i="55" a="1"/>
  <c r="H526" i="55" s="1"/>
  <c r="H570" i="55" a="1"/>
  <c r="H570" i="55" s="1"/>
  <c r="H271" i="55" a="1"/>
  <c r="H271" i="55" s="1"/>
  <c r="E9" i="12" a="1"/>
  <c r="E9" i="12" s="1"/>
  <c r="H150" i="55" a="1"/>
  <c r="H150" i="55" s="1"/>
  <c r="H338" i="55" a="1"/>
  <c r="H338" i="55" s="1"/>
  <c r="H234" i="55" a="1"/>
  <c r="H234" i="55" s="1"/>
  <c r="H345" i="55" a="1"/>
  <c r="H345" i="55" s="1"/>
  <c r="F8" i="12" a="1"/>
  <c r="F8" i="12" s="1"/>
  <c r="H298" i="55" a="1"/>
  <c r="H298" i="55" s="1"/>
  <c r="F5" i="12" a="1"/>
  <c r="F5" i="12" s="1"/>
  <c r="E19" i="70" a="1"/>
  <c r="E19" i="70" s="1"/>
  <c r="H567" i="55" a="1"/>
  <c r="H567" i="55" s="1"/>
  <c r="H323" i="55" a="1"/>
  <c r="H323" i="55" s="1"/>
  <c r="L323" i="55" s="1"/>
  <c r="H50" i="55" a="1"/>
  <c r="H50" i="55" s="1"/>
  <c r="F7" i="70" a="1"/>
  <c r="F7" i="70" s="1"/>
  <c r="E23" i="70" a="1"/>
  <c r="E23" i="70" s="1"/>
  <c r="H129" i="55" a="1"/>
  <c r="H129" i="55" s="1"/>
  <c r="L129" i="55" s="1"/>
  <c r="H516" i="55" a="1"/>
  <c r="H516" i="55" s="1"/>
  <c r="H43" i="55" a="1"/>
  <c r="H43" i="55" s="1"/>
  <c r="H543" i="55" a="1"/>
  <c r="H543" i="55" s="1"/>
  <c r="L543" i="55" s="1"/>
  <c r="H292" i="55" a="1"/>
  <c r="H292" i="55" s="1"/>
  <c r="L292" i="55" s="1"/>
  <c r="H401" i="55" a="1"/>
  <c r="H401" i="55" s="1"/>
  <c r="H371" i="55" a="1"/>
  <c r="H371" i="55" s="1"/>
  <c r="L371" i="55" s="1"/>
  <c r="H159" i="55" a="1"/>
  <c r="H159" i="55" s="1"/>
  <c r="L159" i="55" s="1"/>
  <c r="E53" i="15" a="1"/>
  <c r="E53" i="15" s="1"/>
  <c r="F6" i="12" a="1"/>
  <c r="F6" i="12" s="1"/>
  <c r="H267" i="55" a="1"/>
  <c r="H267" i="55" s="1"/>
  <c r="L267" i="55" s="1"/>
  <c r="H438" i="55" a="1"/>
  <c r="H438" i="55" s="1"/>
  <c r="L438" i="55" s="1"/>
  <c r="E54" i="15" a="1"/>
  <c r="E54" i="15" s="1"/>
  <c r="H413" i="55" a="1"/>
  <c r="H413" i="55" s="1"/>
  <c r="L413" i="55" s="1"/>
  <c r="H435" i="55" a="1"/>
  <c r="H435" i="55" s="1"/>
  <c r="H104" i="55" a="1"/>
  <c r="H104" i="55" s="1"/>
  <c r="L104" i="55" s="1"/>
  <c r="H161" i="55" a="1"/>
  <c r="H161" i="55" s="1"/>
  <c r="L161" i="55" s="1"/>
  <c r="H103" i="55" a="1"/>
  <c r="H103" i="55" s="1"/>
  <c r="H142" i="55" a="1"/>
  <c r="H142" i="55" s="1"/>
  <c r="L142" i="55" s="1"/>
  <c r="H191" i="55" a="1"/>
  <c r="H191" i="55" s="1"/>
  <c r="L191" i="55" s="1"/>
  <c r="H337" i="55" a="1"/>
  <c r="H337" i="55" s="1"/>
  <c r="H74" i="55" a="1"/>
  <c r="H74" i="55" s="1"/>
  <c r="H162" i="55" a="1"/>
  <c r="H162" i="55" s="1"/>
  <c r="L162" i="55" s="1"/>
  <c r="E51" i="15" a="1"/>
  <c r="E51" i="15" s="1"/>
  <c r="E12" i="70" a="1"/>
  <c r="E12" i="70" s="1"/>
  <c r="F12" i="70" a="1"/>
  <c r="F12" i="70" s="1"/>
  <c r="H547" i="55" a="1"/>
  <c r="H547" i="55" s="1"/>
  <c r="H478" i="55" a="1"/>
  <c r="H478" i="55" s="1"/>
  <c r="H459" i="55" a="1"/>
  <c r="H459" i="55" s="1"/>
  <c r="F19" i="70" a="1"/>
  <c r="F19" i="70" s="1"/>
  <c r="H491" i="55" a="1"/>
  <c r="H491" i="55" s="1"/>
  <c r="L491" i="55" s="1"/>
  <c r="H29" i="55" a="1"/>
  <c r="H29" i="55" s="1"/>
  <c r="H209" i="55" a="1"/>
  <c r="H209" i="55" s="1"/>
  <c r="L209" i="55" s="1"/>
  <c r="H282" i="55" a="1"/>
  <c r="H282" i="55" s="1"/>
  <c r="H44" i="55" a="1"/>
  <c r="H44" i="55" s="1"/>
  <c r="L44" i="55" s="1"/>
  <c r="H122" i="55" a="1"/>
  <c r="H122" i="55" s="1"/>
  <c r="L122" i="55" s="1"/>
  <c r="H355" i="55" a="1"/>
  <c r="H355" i="55" s="1"/>
  <c r="L355" i="55" s="1"/>
  <c r="H160" i="55" a="1"/>
  <c r="H160" i="55" s="1"/>
  <c r="L160" i="55" s="1"/>
  <c r="H297" i="55" a="1"/>
  <c r="H297" i="55" s="1"/>
  <c r="H60" i="55" a="1"/>
  <c r="H60" i="55" s="1"/>
  <c r="H275" i="55" a="1"/>
  <c r="H275" i="55" s="1"/>
  <c r="H509" i="55" a="1"/>
  <c r="H509" i="55" s="1"/>
  <c r="H70" i="55" a="1"/>
  <c r="H70" i="55" s="1"/>
  <c r="E29" i="15" a="1"/>
  <c r="E29" i="15" s="1"/>
  <c r="H215" i="55" a="1"/>
  <c r="H215" i="55" s="1"/>
  <c r="H394" i="55" a="1"/>
  <c r="H394" i="55" s="1"/>
  <c r="H363" i="55" a="1"/>
  <c r="H363" i="55" s="1"/>
  <c r="H539" i="55" a="1"/>
  <c r="H539" i="55" s="1"/>
  <c r="H561" i="55" a="1"/>
  <c r="H561" i="55" s="1"/>
  <c r="H270" i="55" a="1"/>
  <c r="H270" i="55" s="1"/>
  <c r="H341" i="55" a="1"/>
  <c r="H341" i="55" s="1"/>
  <c r="H112" i="55" a="1"/>
  <c r="H112" i="55" s="1"/>
  <c r="H404" i="55" a="1"/>
  <c r="H404" i="55" s="1"/>
  <c r="H314" i="55" a="1"/>
  <c r="H314" i="55" s="1"/>
  <c r="H224" i="55" a="1"/>
  <c r="H224" i="55" s="1"/>
  <c r="L224" i="55" s="1"/>
  <c r="H452" i="55" a="1"/>
  <c r="H452" i="55" s="1"/>
  <c r="L452" i="55" s="1"/>
  <c r="H283" i="55" a="1"/>
  <c r="H283" i="55" s="1"/>
  <c r="E13" i="70" a="1"/>
  <c r="E13" i="70" s="1"/>
  <c r="H263" i="55" a="1"/>
  <c r="H263" i="55" s="1"/>
  <c r="H462" i="55" a="1"/>
  <c r="H462" i="55" s="1"/>
  <c r="H86" i="55" a="1"/>
  <c r="H86" i="55" s="1"/>
  <c r="H274" i="55" a="1"/>
  <c r="H274" i="55" s="1"/>
  <c r="H295" i="55" a="1"/>
  <c r="H295" i="55" s="1"/>
  <c r="L295" i="55" s="1"/>
  <c r="H444" i="55" a="1"/>
  <c r="H444" i="55" s="1"/>
  <c r="H458" i="55" a="1"/>
  <c r="H458" i="55" s="1"/>
  <c r="H487" i="55" a="1"/>
  <c r="H487" i="55" s="1"/>
  <c r="F16" i="70" a="1"/>
  <c r="F16" i="70" s="1"/>
  <c r="F9" i="12" a="1"/>
  <c r="F9" i="12" s="1"/>
  <c r="H461" i="55" a="1"/>
  <c r="H461" i="55" s="1"/>
  <c r="H115" i="55" a="1"/>
  <c r="H115" i="55" s="1"/>
  <c r="L115" i="55" s="1"/>
  <c r="H100" i="55" a="1"/>
  <c r="H100" i="55" s="1"/>
  <c r="E7" i="12" a="1"/>
  <c r="E7" i="12" s="1"/>
  <c r="H167" i="55" a="1"/>
  <c r="H167" i="55" s="1"/>
  <c r="L167" i="55" s="1"/>
  <c r="H82" i="55" a="1"/>
  <c r="H82" i="55" s="1"/>
  <c r="H490" i="55" a="1"/>
  <c r="H490" i="55" s="1"/>
  <c r="H27" i="55" a="1"/>
  <c r="H27" i="55" s="1"/>
  <c r="H530" i="55" a="1"/>
  <c r="H530" i="55" s="1"/>
  <c r="H170" i="55" a="1"/>
  <c r="H170" i="55" s="1"/>
  <c r="L170" i="55" s="1"/>
  <c r="H481" i="55" a="1"/>
  <c r="H481" i="55" s="1"/>
  <c r="L481" i="55" s="1"/>
  <c r="H140" i="55" a="1"/>
  <c r="H140" i="55" s="1"/>
  <c r="L140" i="55" s="1"/>
  <c r="E13" i="12" a="1"/>
  <c r="E13" i="12" s="1"/>
  <c r="E10" i="70" a="1"/>
  <c r="E10" i="70" s="1"/>
  <c r="H469" i="55" a="1"/>
  <c r="H469" i="55" s="1"/>
  <c r="H396" i="55" a="1"/>
  <c r="H396" i="55" s="1"/>
  <c r="H38" i="55" a="1"/>
  <c r="H38" i="55" s="1"/>
  <c r="H433" i="55" a="1"/>
  <c r="H433" i="55" s="1"/>
  <c r="E11" i="70" a="1"/>
  <c r="E11" i="70" s="1"/>
  <c r="H411" i="55" a="1"/>
  <c r="H411" i="55" s="1"/>
  <c r="L411" i="55" s="1"/>
  <c r="H92" i="55" a="1"/>
  <c r="H92" i="55" s="1"/>
  <c r="L92" i="55" s="1"/>
  <c r="H147" i="55" a="1"/>
  <c r="H147" i="55" s="1"/>
  <c r="H304" i="55" a="1"/>
  <c r="H304" i="55" s="1"/>
  <c r="H49" i="55" a="1"/>
  <c r="H49" i="55" s="1"/>
  <c r="L49" i="55" s="1"/>
  <c r="H137" i="55" a="1"/>
  <c r="H137" i="55" s="1"/>
  <c r="L137" i="55" s="1"/>
  <c r="H71" i="55" a="1"/>
  <c r="H71" i="55" s="1"/>
  <c r="L71" i="55" s="1"/>
  <c r="H250" i="55" a="1"/>
  <c r="H250" i="55" s="1"/>
  <c r="L250" i="55" s="1"/>
  <c r="H163" i="55" a="1"/>
  <c r="H163" i="55" s="1"/>
  <c r="L163" i="55" s="1"/>
  <c r="H294" i="55" a="1"/>
  <c r="H294" i="55" s="1"/>
  <c r="H156" i="55" a="1"/>
  <c r="H156" i="55" s="1"/>
  <c r="L156" i="55" s="1"/>
  <c r="F26" i="70" a="1"/>
  <c r="F26" i="70" s="1"/>
  <c r="H26" i="70" s="1"/>
  <c r="F9" i="70" a="1"/>
  <c r="F9" i="70" s="1"/>
  <c r="H395" i="55" a="1"/>
  <c r="H395" i="55" s="1"/>
  <c r="H389" i="55" a="1"/>
  <c r="H389" i="55" s="1"/>
  <c r="L389" i="55" s="1"/>
  <c r="H455" i="55" a="1"/>
  <c r="H455" i="55" s="1"/>
  <c r="H475" i="55" a="1"/>
  <c r="H475" i="55" s="1"/>
  <c r="L475" i="55" s="1"/>
  <c r="H563" i="55" a="1"/>
  <c r="H563" i="55" s="1"/>
  <c r="H513" i="55" a="1"/>
  <c r="H513" i="55" s="1"/>
  <c r="E14" i="70" a="1"/>
  <c r="E14" i="70" s="1"/>
  <c r="H66" i="55" a="1"/>
  <c r="H66" i="55" s="1"/>
  <c r="L66" i="55" s="1"/>
  <c r="H253" i="55" a="1"/>
  <c r="H253" i="55" s="1"/>
  <c r="L253" i="55" s="1"/>
  <c r="H47" i="55" a="1"/>
  <c r="H47" i="55" s="1"/>
  <c r="L47" i="55" s="1"/>
  <c r="H135" i="55" a="1"/>
  <c r="H135" i="55" s="1"/>
  <c r="H315" i="55" a="1"/>
  <c r="H315" i="55" s="1"/>
  <c r="L315" i="55" s="1"/>
  <c r="H194" i="55" a="1"/>
  <c r="H194" i="55" s="1"/>
  <c r="J12" i="55" a="1"/>
  <c r="J12" i="55" s="1"/>
  <c r="H269" i="55" a="1"/>
  <c r="H269" i="55" s="1"/>
  <c r="H289" i="55" a="1"/>
  <c r="H289" i="55" s="1"/>
  <c r="H149" i="55" a="1"/>
  <c r="H149" i="55" s="1"/>
  <c r="L149" i="55" s="1"/>
  <c r="H559" i="55" a="1"/>
  <c r="H559" i="55" s="1"/>
  <c r="H464" i="55" a="1"/>
  <c r="H464" i="55" s="1"/>
  <c r="H211" i="55" a="1"/>
  <c r="H211" i="55" s="1"/>
  <c r="H557" i="55" a="1"/>
  <c r="H557" i="55" s="1"/>
  <c r="H454" i="55" a="1"/>
  <c r="H454" i="55" s="1"/>
  <c r="H198" i="55" a="1"/>
  <c r="H198" i="55" s="1"/>
  <c r="H442" i="55" a="1"/>
  <c r="H442" i="55" s="1"/>
  <c r="H577" i="55" a="1"/>
  <c r="H577" i="55" s="1"/>
  <c r="F11" i="70" a="1"/>
  <c r="F11" i="70" s="1"/>
  <c r="H529" i="55" a="1"/>
  <c r="H529" i="55" s="1"/>
  <c r="L529" i="55" s="1"/>
  <c r="H251" i="55" a="1"/>
  <c r="H251" i="55" s="1"/>
  <c r="H130" i="55" a="1"/>
  <c r="H130" i="55" s="1"/>
  <c r="H62" i="55" a="1"/>
  <c r="H62" i="55" s="1"/>
  <c r="H40" i="55" a="1"/>
  <c r="H40" i="55" s="1"/>
  <c r="H518" i="55" a="1"/>
  <c r="H518" i="55" s="1"/>
  <c r="H384" i="55" a="1"/>
  <c r="H384" i="55" s="1"/>
  <c r="L384" i="55" s="1"/>
  <c r="H495" i="55" a="1"/>
  <c r="H495" i="55" s="1"/>
  <c r="H204" i="55" a="1"/>
  <c r="H204" i="55" s="1"/>
  <c r="L204" i="55" s="1"/>
  <c r="H291" i="55" a="1"/>
  <c r="H291" i="55" s="1"/>
  <c r="E47" i="15" a="1"/>
  <c r="E47" i="15" s="1"/>
  <c r="E14" i="15" a="1"/>
  <c r="E14" i="15" s="1"/>
  <c r="H336" i="55" a="1"/>
  <c r="H336" i="55" s="1"/>
  <c r="E24" i="15" a="1"/>
  <c r="E24" i="15" s="1"/>
  <c r="H172" i="55" a="1"/>
  <c r="H172" i="55" s="1"/>
  <c r="H489" i="55" a="1"/>
  <c r="H489" i="55" s="1"/>
  <c r="H349" i="55" a="1"/>
  <c r="H349" i="55" s="1"/>
  <c r="E46" i="15" a="1"/>
  <c r="E46" i="15" s="1"/>
  <c r="H545" i="55" a="1"/>
  <c r="H545" i="55" s="1"/>
  <c r="H120" i="55" a="1"/>
  <c r="H120" i="55" s="1"/>
  <c r="L120" i="55" s="1"/>
  <c r="H265" i="55" a="1"/>
  <c r="H265" i="55" s="1"/>
  <c r="E6" i="70" a="1"/>
  <c r="E6" i="70" s="1"/>
  <c r="E23" i="15" a="1"/>
  <c r="E23" i="15" s="1"/>
  <c r="E12" i="12" a="1"/>
  <c r="E12" i="12" s="1"/>
  <c r="H541" i="55" a="1"/>
  <c r="H541" i="55" s="1"/>
  <c r="H223" i="55" a="1"/>
  <c r="H223" i="55" s="1"/>
  <c r="L223" i="55" s="1"/>
  <c r="H506" i="55" a="1"/>
  <c r="H506" i="55" s="1"/>
  <c r="E5" i="70" a="1"/>
  <c r="E5" i="70" s="1"/>
  <c r="H105" i="55" a="1"/>
  <c r="H105" i="55" s="1"/>
  <c r="L105" i="55" s="1"/>
  <c r="D13" i="39"/>
  <c r="H119" i="55" a="1"/>
  <c r="H119" i="55" s="1"/>
  <c r="L119" i="55" s="1"/>
  <c r="E5" i="12" a="1"/>
  <c r="E5" i="12" s="1"/>
  <c r="F25" i="15" a="1"/>
  <c r="F25" i="15" s="1"/>
  <c r="E30" i="15" a="1"/>
  <c r="E30" i="15" s="1"/>
  <c r="H97" i="55" a="1"/>
  <c r="H97" i="55" s="1"/>
  <c r="L97" i="55" s="1"/>
  <c r="F21" i="70" a="1"/>
  <c r="F21" i="70" s="1"/>
  <c r="H465" i="55" a="1"/>
  <c r="H465" i="55" s="1"/>
  <c r="H179" i="55" a="1"/>
  <c r="H179" i="55" s="1"/>
  <c r="L179" i="55" s="1"/>
  <c r="H152" i="55" a="1"/>
  <c r="H152" i="55" s="1"/>
  <c r="L152" i="55" s="1"/>
  <c r="H155" i="55" a="1"/>
  <c r="H155" i="55" s="1"/>
  <c r="L155" i="55" s="1"/>
  <c r="H419" i="55" a="1"/>
  <c r="H419" i="55" s="1"/>
  <c r="H69" i="55" a="1"/>
  <c r="H69" i="55" s="1"/>
  <c r="F5" i="70" a="1"/>
  <c r="F5" i="70" s="1"/>
  <c r="H208" i="55" a="1"/>
  <c r="H208" i="55" s="1"/>
  <c r="L208" i="55" s="1"/>
  <c r="F10" i="70" a="1"/>
  <c r="F10" i="70" s="1"/>
  <c r="H123" i="55" a="1"/>
  <c r="H123" i="55" s="1"/>
  <c r="L123" i="55" s="1"/>
  <c r="E20" i="70" a="1"/>
  <c r="E20" i="70" s="1"/>
  <c r="H400" i="55" a="1"/>
  <c r="H400" i="55" s="1"/>
  <c r="L400" i="55" s="1"/>
  <c r="H504" i="55" a="1"/>
  <c r="H504" i="55" s="1"/>
  <c r="L504" i="55" s="1"/>
  <c r="H537" i="55" a="1"/>
  <c r="H537" i="55" s="1"/>
  <c r="L537" i="55" s="1"/>
  <c r="H555" i="55" a="1"/>
  <c r="H555" i="55" s="1"/>
  <c r="H318" i="55" a="1"/>
  <c r="H318" i="55" s="1"/>
  <c r="L318" i="55" s="1"/>
  <c r="H45" i="55" a="1"/>
  <c r="H45" i="55" s="1"/>
  <c r="L45" i="55" s="1"/>
  <c r="H243" i="55" a="1"/>
  <c r="H243" i="55" s="1"/>
  <c r="L243" i="55" s="1"/>
  <c r="H322" i="55" a="1"/>
  <c r="H322" i="55" s="1"/>
  <c r="L322" i="55" s="1"/>
  <c r="H503" i="55" a="1"/>
  <c r="H503" i="55" s="1"/>
  <c r="L503" i="55" s="1"/>
  <c r="H182" i="55" a="1"/>
  <c r="H182" i="55" s="1"/>
  <c r="H303" i="55" a="1"/>
  <c r="H303" i="55" s="1"/>
  <c r="H332" i="55" a="1"/>
  <c r="H332" i="55" s="1"/>
  <c r="H580" i="55" a="1"/>
  <c r="H580" i="55" s="1"/>
  <c r="H206" i="55" a="1"/>
  <c r="H206" i="55" s="1"/>
  <c r="H58" i="55" a="1"/>
  <c r="H58" i="55" s="1"/>
  <c r="H386" i="55" a="1"/>
  <c r="H386" i="55" s="1"/>
  <c r="H242" i="55" a="1"/>
  <c r="H242" i="55" s="1"/>
  <c r="E6" i="12" a="1"/>
  <c r="E6" i="12" s="1"/>
  <c r="H576" i="55" a="1"/>
  <c r="H576" i="55" s="1"/>
  <c r="L576" i="55" s="1"/>
  <c r="H268" i="55" a="1"/>
  <c r="H268" i="55" s="1"/>
  <c r="H508" i="55" a="1"/>
  <c r="H508" i="55" s="1"/>
  <c r="H399" i="55" a="1"/>
  <c r="H399" i="55" s="1"/>
  <c r="H565" i="55" a="1"/>
  <c r="H565" i="55" s="1"/>
  <c r="H579" i="55" a="1"/>
  <c r="H579" i="55" s="1"/>
  <c r="H299" i="55" a="1"/>
  <c r="H299" i="55" s="1"/>
  <c r="H257" i="55" a="1"/>
  <c r="H257" i="55" s="1"/>
  <c r="H374" i="55" a="1"/>
  <c r="H374" i="55" s="1"/>
  <c r="H260" i="55" a="1"/>
  <c r="H260" i="55" s="1"/>
  <c r="L260" i="55" s="1"/>
  <c r="E17" i="15" a="1"/>
  <c r="E17" i="15" s="1"/>
  <c r="E18" i="15" s="1"/>
  <c r="H22" i="55" a="1"/>
  <c r="H22" i="55" s="1"/>
  <c r="H546" i="55" a="1"/>
  <c r="H546" i="55" s="1"/>
  <c r="H68" i="55" a="1"/>
  <c r="H68" i="55" s="1"/>
  <c r="F29" i="15" a="1"/>
  <c r="F29" i="15" s="1"/>
  <c r="H240" i="55" a="1"/>
  <c r="H240" i="55" s="1"/>
  <c r="E32" i="15" a="1"/>
  <c r="E32" i="15" s="1"/>
  <c r="E33" i="15" s="1"/>
  <c r="H212" i="55" a="1"/>
  <c r="H212" i="55" s="1"/>
  <c r="L212" i="55" s="1"/>
  <c r="H245" i="55" a="1"/>
  <c r="H245" i="55" s="1"/>
  <c r="H415" i="55" a="1"/>
  <c r="H415" i="55" s="1"/>
  <c r="L415" i="55" s="1"/>
  <c r="H284" i="55" a="1"/>
  <c r="H284" i="55" s="1"/>
  <c r="E49" i="15" a="1"/>
  <c r="E49" i="15" s="1"/>
  <c r="H85" i="55" a="1"/>
  <c r="H85" i="55" s="1"/>
  <c r="H540" i="55" a="1"/>
  <c r="H540" i="55" s="1"/>
  <c r="H153" i="55" a="1"/>
  <c r="H153" i="55" s="1"/>
  <c r="L153" i="55" s="1"/>
  <c r="H430" i="55" a="1"/>
  <c r="H430" i="55" s="1"/>
  <c r="E17" i="70" a="1"/>
  <c r="E17" i="70" s="1"/>
  <c r="H586" i="55" a="1"/>
  <c r="H586" i="55" s="1"/>
  <c r="H510" i="55" a="1"/>
  <c r="H510" i="55" s="1"/>
  <c r="L510" i="55" s="1"/>
  <c r="H523" i="55" a="1"/>
  <c r="H523" i="55" s="1"/>
  <c r="L523" i="55" s="1"/>
  <c r="H534" i="55" a="1"/>
  <c r="H534" i="55" s="1"/>
  <c r="H429" i="55" a="1"/>
  <c r="H429" i="55" s="1"/>
  <c r="H498" i="55" a="1"/>
  <c r="H498" i="55" s="1"/>
  <c r="H520" i="55" a="1"/>
  <c r="H520" i="55" s="1"/>
  <c r="H439" i="55" a="1"/>
  <c r="H439" i="55" s="1"/>
  <c r="L439" i="55" s="1"/>
  <c r="H514" i="55" a="1"/>
  <c r="H514" i="55" s="1"/>
  <c r="L514" i="55" s="1"/>
  <c r="H307" i="55" a="1"/>
  <c r="H307" i="55" s="1"/>
  <c r="L307" i="55" s="1"/>
  <c r="H252" i="55" a="1"/>
  <c r="H252" i="55" s="1"/>
  <c r="L252" i="55" s="1"/>
  <c r="H233" i="55" a="1"/>
  <c r="H233" i="55" s="1"/>
  <c r="H95" i="55" a="1"/>
  <c r="H95" i="55" s="1"/>
  <c r="L95" i="55" s="1"/>
  <c r="H36" i="55" a="1"/>
  <c r="H36" i="55" s="1"/>
  <c r="H488" i="55" a="1"/>
  <c r="H488" i="55" s="1"/>
  <c r="H335" i="55" a="1"/>
  <c r="H335" i="55" s="1"/>
  <c r="H572" i="55" a="1"/>
  <c r="H572" i="55" s="1"/>
  <c r="H106" i="55" a="1"/>
  <c r="H106" i="55" s="1"/>
  <c r="L106" i="55" s="1"/>
  <c r="H538" i="55" a="1"/>
  <c r="H538" i="55" s="1"/>
  <c r="H380" i="55" a="1"/>
  <c r="H380" i="55" s="1"/>
  <c r="H59" i="55" a="1"/>
  <c r="H59" i="55" s="1"/>
  <c r="H501" i="55" a="1"/>
  <c r="H501" i="55" s="1"/>
  <c r="H199" i="55" a="1"/>
  <c r="H199" i="55" s="1"/>
  <c r="H564" i="55" a="1"/>
  <c r="H564" i="55" s="1"/>
  <c r="L564" i="55" s="1"/>
  <c r="H33" i="55" a="1"/>
  <c r="H33" i="55" s="1"/>
  <c r="H187" i="55" a="1"/>
  <c r="H187" i="55" s="1"/>
  <c r="H553" i="55" a="1"/>
  <c r="H553" i="55" s="1"/>
  <c r="H571" i="55" a="1"/>
  <c r="H571" i="55" s="1"/>
  <c r="L571" i="55" s="1"/>
  <c r="H261" i="55" a="1"/>
  <c r="H261" i="55" s="1"/>
  <c r="H64" i="55" a="1"/>
  <c r="H64" i="55" s="1"/>
  <c r="H473" i="55" a="1"/>
  <c r="H473" i="55" s="1"/>
  <c r="F6" i="70" a="1"/>
  <c r="F6" i="70" s="1"/>
  <c r="H89" i="55" a="1"/>
  <c r="H89" i="55" s="1"/>
  <c r="H116" i="55" a="1"/>
  <c r="H116" i="55" s="1"/>
  <c r="H222" i="55" a="1"/>
  <c r="H222" i="55" s="1"/>
  <c r="H302" i="55" a="1"/>
  <c r="H302" i="55" s="1"/>
  <c r="H87" i="55" a="1"/>
  <c r="H87" i="55" s="1"/>
  <c r="H88" i="55" a="1"/>
  <c r="H88" i="55" s="1"/>
  <c r="L88" i="55" s="1"/>
  <c r="H373" i="55" a="1"/>
  <c r="H373" i="55" s="1"/>
  <c r="H536" i="55" a="1"/>
  <c r="H536" i="55" s="1"/>
  <c r="H168" i="55" a="1"/>
  <c r="H168" i="55" s="1"/>
  <c r="E39" i="15" a="1"/>
  <c r="E39" i="15" s="1"/>
  <c r="H276" i="55" a="1"/>
  <c r="H276" i="55" s="1"/>
  <c r="H133" i="55" a="1"/>
  <c r="H133" i="55" s="1"/>
  <c r="F37" i="15" a="1"/>
  <c r="F37" i="15" s="1"/>
  <c r="H556" i="55" a="1"/>
  <c r="H556" i="55" s="1"/>
  <c r="H382" i="55" a="1"/>
  <c r="H382" i="55" s="1"/>
  <c r="H138" i="55" a="1"/>
  <c r="H138" i="55" s="1"/>
  <c r="H91" i="55" a="1"/>
  <c r="H91" i="55" s="1"/>
  <c r="H136" i="55" a="1"/>
  <c r="H136" i="55" s="1"/>
  <c r="H183" i="55" a="1"/>
  <c r="H183" i="55" s="1"/>
  <c r="H113" i="55" a="1"/>
  <c r="H113" i="55" s="1"/>
  <c r="H272" i="55" a="1"/>
  <c r="H272" i="55" s="1"/>
  <c r="H584" i="55" a="1"/>
  <c r="H584" i="55" s="1"/>
  <c r="H361" i="55" a="1"/>
  <c r="H361" i="55" s="1"/>
  <c r="H331" i="55" a="1"/>
  <c r="H331" i="55" s="1"/>
  <c r="L331" i="55" s="1"/>
  <c r="H78" i="55" a="1"/>
  <c r="H78" i="55" s="1"/>
  <c r="L78" i="55" s="1"/>
  <c r="H447" i="55" a="1"/>
  <c r="H447" i="55" s="1"/>
  <c r="H494" i="55" a="1"/>
  <c r="H494" i="55" s="1"/>
  <c r="F35" i="15" a="1"/>
  <c r="F35" i="15" s="1"/>
  <c r="H357" i="55" a="1"/>
  <c r="H357" i="55" s="1"/>
  <c r="L357" i="55" s="1"/>
  <c r="H535" i="55" a="1"/>
  <c r="H535" i="55" s="1"/>
  <c r="H217" i="55" a="1"/>
  <c r="H217" i="55" s="1"/>
  <c r="H403" i="55" a="1"/>
  <c r="H403" i="55" s="1"/>
  <c r="L403" i="55" s="1"/>
  <c r="H460" i="55" a="1"/>
  <c r="H460" i="55" s="1"/>
  <c r="L460" i="55" s="1"/>
  <c r="H511" i="55" a="1"/>
  <c r="H511" i="55" s="1"/>
  <c r="L511" i="55" s="1"/>
  <c r="H370" i="55" a="1"/>
  <c r="H370" i="55" s="1"/>
  <c r="H428" i="55" a="1"/>
  <c r="H428" i="55" s="1"/>
  <c r="L428" i="55" s="1"/>
  <c r="H443" i="55" a="1"/>
  <c r="H443" i="55" s="1"/>
  <c r="H450" i="55" a="1"/>
  <c r="H450" i="55" s="1"/>
  <c r="H485" i="55" a="1"/>
  <c r="H485" i="55" s="1"/>
  <c r="H391" i="55" a="1"/>
  <c r="H391" i="55" s="1"/>
  <c r="L391" i="55" s="1"/>
  <c r="H497" i="55" a="1"/>
  <c r="H497" i="55" s="1"/>
  <c r="H359" i="55" a="1"/>
  <c r="H359" i="55" s="1"/>
  <c r="L359" i="55" s="1"/>
  <c r="H52" i="55" a="1"/>
  <c r="H52" i="55" s="1"/>
  <c r="H81" i="55" a="1"/>
  <c r="H81" i="55" s="1"/>
  <c r="L81" i="55" s="1"/>
  <c r="H117" i="55" a="1"/>
  <c r="H117" i="55" s="1"/>
  <c r="L117" i="55" s="1"/>
  <c r="H197" i="55" a="1"/>
  <c r="H197" i="55" s="1"/>
  <c r="H472" i="55" a="1"/>
  <c r="H472" i="55" s="1"/>
  <c r="L472" i="55" s="1"/>
  <c r="H532" i="55" a="1"/>
  <c r="H532" i="55" s="1"/>
  <c r="L532" i="55" s="1"/>
  <c r="H479" i="55" a="1"/>
  <c r="H479" i="55" s="1"/>
  <c r="H416" i="55" a="1"/>
  <c r="H416" i="55" s="1"/>
  <c r="L416" i="55" s="1"/>
  <c r="H376" i="55" a="1"/>
  <c r="H376" i="55" s="1"/>
  <c r="H387" i="55" a="1"/>
  <c r="H387" i="55" s="1"/>
  <c r="L387" i="55" s="1"/>
  <c r="H339" i="55" a="1"/>
  <c r="H339" i="55" s="1"/>
  <c r="L339" i="55" s="1"/>
  <c r="H72" i="55" a="1"/>
  <c r="H72" i="55" s="1"/>
  <c r="H496" i="55" a="1"/>
  <c r="H496" i="55" s="1"/>
  <c r="H228" i="55" a="1"/>
  <c r="H228" i="55" s="1"/>
  <c r="L228" i="55" s="1"/>
  <c r="H248" i="55" a="1"/>
  <c r="H248" i="55" s="1"/>
  <c r="L248" i="55" s="1"/>
  <c r="H451" i="55" a="1"/>
  <c r="H451" i="55" s="1"/>
  <c r="H568" i="55" a="1"/>
  <c r="H568" i="55" s="1"/>
  <c r="H232" i="55" a="1"/>
  <c r="H232" i="55" s="1"/>
  <c r="H441" i="55" a="1"/>
  <c r="H441" i="55" s="1"/>
  <c r="L441" i="55" s="1"/>
  <c r="H477" i="55" a="1"/>
  <c r="H477" i="55" s="1"/>
  <c r="H366" i="55" a="1"/>
  <c r="H366" i="55" s="1"/>
  <c r="E16" i="70" a="1"/>
  <c r="E16" i="70" s="1"/>
  <c r="H180" i="55" a="1"/>
  <c r="H180" i="55" s="1"/>
  <c r="H351" i="55" a="1"/>
  <c r="H351" i="55" s="1"/>
  <c r="H230" i="55" a="1"/>
  <c r="H230" i="55" s="1"/>
  <c r="H124" i="55" a="1"/>
  <c r="H124" i="55" s="1"/>
  <c r="H236" i="55" a="1"/>
  <c r="H236" i="55" s="1"/>
  <c r="L236" i="55" s="1"/>
  <c r="H414" i="55" a="1"/>
  <c r="H414" i="55" s="1"/>
  <c r="H431" i="55" a="1"/>
  <c r="H431" i="55" s="1"/>
  <c r="L431" i="55" s="1"/>
  <c r="H471" i="55" a="1"/>
  <c r="H471" i="55" s="1"/>
  <c r="L471" i="55" s="1"/>
  <c r="H362" i="55" a="1"/>
  <c r="H362" i="55" s="1"/>
  <c r="L362" i="55" s="1"/>
  <c r="H151" i="55" a="1"/>
  <c r="H151" i="55" s="1"/>
  <c r="H446" i="55" a="1"/>
  <c r="H446" i="55" s="1"/>
  <c r="E27" i="15" a="1"/>
  <c r="E27" i="15" s="1"/>
  <c r="E28" i="15" s="1"/>
  <c r="E4" i="12" a="1"/>
  <c r="E4" i="12" s="1"/>
  <c r="H524" i="55" a="1"/>
  <c r="H524" i="55" s="1"/>
  <c r="F41" i="15" a="1"/>
  <c r="F41" i="15" s="1"/>
  <c r="F43" i="15" s="1"/>
  <c r="H139" i="55" a="1"/>
  <c r="H139" i="55" s="1"/>
  <c r="H296" i="55" a="1"/>
  <c r="H296" i="55" s="1"/>
  <c r="L296" i="55" s="1"/>
  <c r="H422" i="55" a="1"/>
  <c r="H422" i="55" s="1"/>
  <c r="H148" i="55" a="1"/>
  <c r="H148" i="55" s="1"/>
  <c r="H80" i="55" a="1"/>
  <c r="H80" i="55" s="1"/>
  <c r="L80" i="55" s="1"/>
  <c r="H390" i="55" a="1"/>
  <c r="H390" i="55" s="1"/>
  <c r="H427" i="55" a="1"/>
  <c r="H427" i="55" s="1"/>
  <c r="H237" i="55" a="1"/>
  <c r="H237" i="55" s="1"/>
  <c r="L237" i="55" s="1"/>
  <c r="H34" i="55" a="1"/>
  <c r="H34" i="55" s="1"/>
  <c r="L34" i="55" s="1"/>
  <c r="H393" i="55" a="1"/>
  <c r="H393" i="55" s="1"/>
  <c r="L393" i="55" s="1"/>
  <c r="E20" i="15" a="1"/>
  <c r="E20" i="15" s="1"/>
  <c r="H319" i="55" a="1"/>
  <c r="H319" i="55" s="1"/>
  <c r="L319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369" i="55" a="1"/>
  <c r="H369" i="55" s="1"/>
  <c r="F39" i="15" a="1"/>
  <c r="F39" i="15" s="1"/>
  <c r="F40" i="15" s="1"/>
  <c r="H174" i="55" a="1"/>
  <c r="H174" i="55" s="1"/>
  <c r="H550" i="55" a="1"/>
  <c r="H550" i="55" s="1"/>
  <c r="H480" i="55" a="1"/>
  <c r="H480" i="55" s="1"/>
  <c r="L480" i="55" s="1"/>
  <c r="H463" i="55" a="1"/>
  <c r="H463" i="55" s="1"/>
  <c r="L463" i="55" s="1"/>
  <c r="H544" i="55" a="1"/>
  <c r="H544" i="55" s="1"/>
  <c r="L544" i="55" s="1"/>
  <c r="H424" i="55" a="1"/>
  <c r="H424" i="55" s="1"/>
  <c r="L424" i="55" s="1"/>
  <c r="H548" i="55" a="1"/>
  <c r="H548" i="55" s="1"/>
  <c r="L548" i="55" s="1"/>
  <c r="H517" i="55" a="1"/>
  <c r="H517" i="55" s="1"/>
  <c r="H425" i="55" a="1"/>
  <c r="H425" i="55" s="1"/>
  <c r="H143" i="55" a="1"/>
  <c r="H143" i="55" s="1"/>
  <c r="H500" i="55" a="1"/>
  <c r="H500" i="55" s="1"/>
  <c r="H385" i="55" a="1"/>
  <c r="H385" i="55" s="1"/>
  <c r="H356" i="55" a="1"/>
  <c r="H356" i="55" s="1"/>
  <c r="L356" i="55" s="1"/>
  <c r="H528" i="55" a="1"/>
  <c r="H528" i="55" s="1"/>
  <c r="L528" i="55" s="1"/>
  <c r="H311" i="55" a="1"/>
  <c r="H311" i="55" s="1"/>
  <c r="L311" i="55" s="1"/>
  <c r="H281" i="55" a="1"/>
  <c r="H281" i="55" s="1"/>
  <c r="L281" i="55" s="1"/>
  <c r="H320" i="55" a="1"/>
  <c r="H320" i="55" s="1"/>
  <c r="L320" i="55" s="1"/>
  <c r="H20" i="55" a="1"/>
  <c r="H20" i="55" s="1"/>
  <c r="L20" i="55" s="1"/>
  <c r="H383" i="55" a="1"/>
  <c r="H383" i="55" s="1"/>
  <c r="L383" i="55" s="1"/>
  <c r="H377" i="55" a="1"/>
  <c r="H377" i="55" s="1"/>
  <c r="L377" i="55" s="1"/>
  <c r="H484" i="55" a="1"/>
  <c r="H484" i="55" s="1"/>
  <c r="L484" i="55" s="1"/>
  <c r="H220" i="55" a="1"/>
  <c r="H220" i="55" s="1"/>
  <c r="L220" i="55" s="1"/>
  <c r="H30" i="55" a="1"/>
  <c r="H30" i="55" s="1"/>
  <c r="L30" i="55" s="1"/>
  <c r="H585" i="55" a="1"/>
  <c r="H585" i="55" s="1"/>
  <c r="L585" i="55" s="1"/>
  <c r="H581" i="55" a="1"/>
  <c r="H581" i="55" s="1"/>
  <c r="L581" i="55" s="1"/>
  <c r="H61" i="55" a="1"/>
  <c r="H61" i="55" s="1"/>
  <c r="L61" i="55" s="1"/>
  <c r="H77" i="55" a="1"/>
  <c r="H77" i="55" s="1"/>
  <c r="L77" i="55" s="1"/>
  <c r="H421" i="55" a="1"/>
  <c r="H421" i="55" s="1"/>
  <c r="H76" i="55" a="1"/>
  <c r="H76" i="55" s="1"/>
  <c r="H107" i="55" a="1"/>
  <c r="H107" i="55" s="1"/>
  <c r="H367" i="55" a="1"/>
  <c r="H367" i="55" s="1"/>
  <c r="L367" i="55" s="1"/>
  <c r="H360" i="55" a="1"/>
  <c r="H360" i="55" s="1"/>
  <c r="H118" i="55" a="1"/>
  <c r="H118" i="55" s="1"/>
  <c r="H512" i="55" a="1"/>
  <c r="H512" i="55" s="1"/>
  <c r="H312" i="55" a="1"/>
  <c r="H312" i="55" s="1"/>
  <c r="H378" i="55" a="1"/>
  <c r="H378" i="55" s="1"/>
  <c r="H398" i="55" a="1"/>
  <c r="H398" i="55" s="1"/>
  <c r="H388" i="55" a="1"/>
  <c r="H388" i="55" s="1"/>
  <c r="H39" i="55" a="1"/>
  <c r="H39" i="55" s="1"/>
  <c r="H189" i="55" a="1"/>
  <c r="H189" i="55" s="1"/>
  <c r="H264" i="55" a="1"/>
  <c r="H264" i="55" s="1"/>
  <c r="H177" i="55" a="1"/>
  <c r="H177" i="55" s="1"/>
  <c r="L177" i="55" s="1"/>
  <c r="F25" i="70" a="1"/>
  <c r="F25" i="70" s="1"/>
  <c r="H25" i="70" s="1"/>
  <c r="F18" i="70" a="1"/>
  <c r="F18" i="70" s="1"/>
  <c r="E15" i="70" a="1"/>
  <c r="E15" i="70" s="1"/>
  <c r="H346" i="55" a="1"/>
  <c r="H346" i="55" s="1"/>
  <c r="H221" i="55" a="1"/>
  <c r="H221" i="55" s="1"/>
  <c r="L221" i="55" s="1"/>
  <c r="E31" i="15" a="1"/>
  <c r="E31" i="15" s="1"/>
  <c r="H175" i="55" a="1"/>
  <c r="H175" i="55" s="1"/>
  <c r="H134" i="55" a="1"/>
  <c r="H134" i="55" s="1"/>
  <c r="F27" i="15" a="1"/>
  <c r="F27" i="15" s="1"/>
  <c r="F28" i="15" s="1"/>
  <c r="H324" i="55" a="1"/>
  <c r="H324" i="55" s="1"/>
  <c r="H201" i="55" a="1"/>
  <c r="H201" i="55" s="1"/>
  <c r="H196" i="55" a="1"/>
  <c r="H196" i="55" s="1"/>
  <c r="L196" i="55" s="1"/>
  <c r="H392" i="55" a="1"/>
  <c r="H392" i="55" s="1"/>
  <c r="H456" i="55" a="1"/>
  <c r="H456" i="55" s="1"/>
  <c r="L456" i="55" s="1"/>
  <c r="F12" i="15" a="1"/>
  <c r="F12" i="15" s="1"/>
  <c r="H165" i="55" a="1"/>
  <c r="H165" i="55" s="1"/>
  <c r="H229" i="55" a="1"/>
  <c r="H229" i="55" s="1"/>
  <c r="H146" i="55" a="1"/>
  <c r="H146" i="55" s="1"/>
  <c r="L146" i="55" s="1"/>
  <c r="H515" i="55" a="1"/>
  <c r="H515" i="55" s="1"/>
  <c r="H114" i="55" a="1"/>
  <c r="H114" i="55" s="1"/>
  <c r="H278" i="55" a="1"/>
  <c r="H278" i="55" s="1"/>
  <c r="L278" i="55" s="1"/>
  <c r="H51" i="55" a="1"/>
  <c r="H51" i="55" s="1"/>
  <c r="L51" i="55" s="1"/>
  <c r="H280" i="55" a="1"/>
  <c r="H280" i="55" s="1"/>
  <c r="L280" i="55" s="1"/>
  <c r="H121" i="55" a="1"/>
  <c r="H121" i="55" s="1"/>
  <c r="H573" i="55" a="1"/>
  <c r="H573" i="55" s="1"/>
  <c r="H409" i="55" a="1"/>
  <c r="H409" i="55" s="1"/>
  <c r="F24" i="70" a="1"/>
  <c r="F24" i="70" s="1"/>
  <c r="H24" i="70" s="1"/>
  <c r="H290" i="55" a="1"/>
  <c r="H290" i="55" s="1"/>
  <c r="L290" i="55" s="1"/>
  <c r="H402" i="55" a="1"/>
  <c r="H402" i="55" s="1"/>
  <c r="L402" i="55" s="1"/>
  <c r="H549" i="55" a="1"/>
  <c r="H549" i="55" s="1"/>
  <c r="L549" i="55" s="1"/>
  <c r="H560" i="55" a="1"/>
  <c r="H560" i="55" s="1"/>
  <c r="H397" i="55" a="1"/>
  <c r="H397" i="55" s="1"/>
  <c r="L397" i="55" s="1"/>
  <c r="H583" i="55" a="1"/>
  <c r="H583" i="55" s="1"/>
  <c r="L583" i="55" s="1"/>
  <c r="H193" i="55" a="1"/>
  <c r="H193" i="55" s="1"/>
  <c r="H575" i="55" a="1"/>
  <c r="H575" i="55" s="1"/>
  <c r="H379" i="55" a="1"/>
  <c r="H379" i="55" s="1"/>
  <c r="L379" i="55" s="1"/>
  <c r="H418" i="55" a="1"/>
  <c r="H418" i="55" s="1"/>
  <c r="H202" i="55" a="1"/>
  <c r="H202" i="55" s="1"/>
  <c r="H166" i="55" a="1"/>
  <c r="H166" i="55" s="1"/>
  <c r="H486" i="55" a="1"/>
  <c r="H486" i="55" s="1"/>
  <c r="H566" i="55" a="1"/>
  <c r="H566" i="55" s="1"/>
  <c r="H405" i="55" a="1"/>
  <c r="H405" i="55" s="1"/>
  <c r="L405" i="55" s="1"/>
  <c r="H507" i="55" a="1"/>
  <c r="H507" i="55" s="1"/>
  <c r="L507" i="55" s="1"/>
  <c r="H493" i="55" a="1"/>
  <c r="H493" i="55" s="1"/>
  <c r="H83" i="55" a="1"/>
  <c r="H83" i="55" s="1"/>
  <c r="L83" i="55" s="1"/>
  <c r="H235" i="55" a="1"/>
  <c r="H235" i="55" s="1"/>
  <c r="L235" i="55" s="1"/>
  <c r="H258" i="55" a="1"/>
  <c r="H258" i="55" s="1"/>
  <c r="L258" i="55" s="1"/>
  <c r="H554" i="55" a="1"/>
  <c r="H554" i="55" s="1"/>
  <c r="H287" i="55" a="1"/>
  <c r="H287" i="55" s="1"/>
  <c r="H126" i="55" a="1"/>
  <c r="H126" i="55" s="1"/>
  <c r="L126" i="55" s="1"/>
  <c r="H348" i="55" a="1"/>
  <c r="H348" i="55" s="1"/>
  <c r="L348" i="55" s="1"/>
  <c r="H410" i="55" a="1"/>
  <c r="H410" i="55" s="1"/>
  <c r="L410" i="55" s="1"/>
  <c r="H94" i="55" a="1"/>
  <c r="H94" i="55" s="1"/>
  <c r="L94" i="55" s="1"/>
  <c r="H569" i="55" a="1"/>
  <c r="H569" i="55" s="1"/>
  <c r="L569" i="55" s="1"/>
  <c r="H186" i="55" a="1"/>
  <c r="H186" i="55" s="1"/>
  <c r="L186" i="55" s="1"/>
  <c r="H259" i="55" a="1"/>
  <c r="H259" i="55" s="1"/>
  <c r="L259" i="55" s="1"/>
  <c r="H423" i="55" a="1"/>
  <c r="H423" i="55" s="1"/>
  <c r="L423" i="55" s="1"/>
  <c r="E48" i="15" a="1"/>
  <c r="E48" i="15" s="1"/>
  <c r="H301" i="55" a="1"/>
  <c r="H301" i="55" s="1"/>
  <c r="H310" i="55" a="1"/>
  <c r="H310" i="55" s="1"/>
  <c r="L310" i="55" s="1"/>
  <c r="H141" i="55" a="1"/>
  <c r="H141" i="55" s="1"/>
  <c r="L141" i="55" s="1"/>
  <c r="H574" i="55" a="1"/>
  <c r="H574" i="55" s="1"/>
  <c r="H408" i="55" a="1"/>
  <c r="H408" i="55" s="1"/>
  <c r="H169" i="55" a="1"/>
  <c r="H169" i="55" s="1"/>
  <c r="L169" i="55" s="1"/>
  <c r="H73" i="55" a="1"/>
  <c r="H73" i="55" s="1"/>
  <c r="H67" i="55" a="1"/>
  <c r="H67" i="55" s="1"/>
  <c r="H375" i="55" a="1"/>
  <c r="H375" i="55" s="1"/>
  <c r="E15" i="15" a="1"/>
  <c r="E15" i="15" s="1"/>
  <c r="H308" i="55" a="1"/>
  <c r="H308" i="55" s="1"/>
  <c r="H519" i="55" a="1"/>
  <c r="H519" i="55" s="1"/>
  <c r="H449" i="55" a="1"/>
  <c r="H449" i="55" s="1"/>
  <c r="H255" i="55" a="1"/>
  <c r="H255" i="55" s="1"/>
  <c r="L255" i="55" s="1"/>
  <c r="H499" i="55" a="1"/>
  <c r="H499" i="55" s="1"/>
  <c r="F12" i="12" a="1"/>
  <c r="F12" i="12" s="1"/>
  <c r="H12" i="12" s="1"/>
  <c r="H440" i="55" a="1"/>
  <c r="H440" i="55" s="1"/>
  <c r="H483" i="55" a="1"/>
  <c r="H483" i="55" s="1"/>
  <c r="H25" i="55" a="1"/>
  <c r="H25" i="55" s="1"/>
  <c r="H41" i="55" a="1"/>
  <c r="H41" i="55" s="1"/>
  <c r="F10" i="15" a="1"/>
  <c r="F10" i="15" s="1"/>
  <c r="H145" i="55" a="1"/>
  <c r="H145" i="55" s="1"/>
  <c r="L145" i="55" s="1"/>
  <c r="H178" i="55" a="1"/>
  <c r="H178" i="55" s="1"/>
  <c r="H436" i="55" a="1"/>
  <c r="H436" i="55" s="1"/>
  <c r="L436" i="55" s="1"/>
  <c r="H171" i="55" a="1"/>
  <c r="H171" i="55" s="1"/>
  <c r="H457" i="55" a="1"/>
  <c r="H457" i="55" s="1"/>
  <c r="H96" i="55" a="1"/>
  <c r="H96" i="55" s="1"/>
  <c r="L96" i="55" s="1"/>
  <c r="H125" i="55" a="1"/>
  <c r="H125" i="55" s="1"/>
  <c r="H286" i="55" a="1"/>
  <c r="H286" i="55" s="1"/>
  <c r="H210" i="55" a="1"/>
  <c r="H210" i="55" s="1"/>
  <c r="H246" i="55" a="1"/>
  <c r="H246" i="55" s="1"/>
  <c r="L246" i="55" s="1"/>
  <c r="H26" i="55" a="1"/>
  <c r="H26" i="55" s="1"/>
  <c r="L26" i="55" s="1"/>
  <c r="H102" i="55" a="1"/>
  <c r="H102" i="55" s="1"/>
  <c r="L102" i="55" s="1"/>
  <c r="J18" i="55" a="1"/>
  <c r="J18" i="55" s="1"/>
  <c r="H340" i="55" a="1"/>
  <c r="H340" i="55" s="1"/>
  <c r="L340" i="55" s="1"/>
  <c r="H158" i="55" a="1"/>
  <c r="H158" i="55" s="1"/>
  <c r="L158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37" i="15" a="1"/>
  <c r="E37" i="15" s="1"/>
  <c r="F11" i="12" a="1"/>
  <c r="F11" i="12" s="1"/>
  <c r="H12" i="55" a="1"/>
  <c r="H12" i="55" s="1"/>
  <c r="F31" i="15" a="1"/>
  <c r="F31" i="15" s="1"/>
  <c r="H181" i="55" a="1"/>
  <c r="H181" i="55" s="1"/>
  <c r="E44" i="15" a="1"/>
  <c r="E44" i="15" s="1"/>
  <c r="H109" i="55" a="1"/>
  <c r="H109" i="55" s="1"/>
  <c r="H79" i="55" a="1"/>
  <c r="H79" i="55" s="1"/>
  <c r="H207" i="55" a="1"/>
  <c r="H207" i="55" s="1"/>
  <c r="H273" i="55" a="1"/>
  <c r="H273" i="55" s="1"/>
  <c r="J494" i="55" a="1"/>
  <c r="J494" i="55" s="1"/>
  <c r="J477" i="55" a="1"/>
  <c r="J477" i="55" s="1"/>
  <c r="J298" i="55" a="1"/>
  <c r="J298" i="55" s="1"/>
  <c r="L298" i="55" s="1"/>
  <c r="J437" i="55" a="1"/>
  <c r="J437" i="55" s="1"/>
  <c r="J268" i="55" a="1"/>
  <c r="J268" i="55" s="1"/>
  <c r="J82" i="55" a="1"/>
  <c r="J82" i="55" s="1"/>
  <c r="J461" i="55" a="1"/>
  <c r="J461" i="55" s="1"/>
  <c r="L461" i="55" s="1"/>
  <c r="F4" i="70" a="1"/>
  <c r="F4" i="70" s="1"/>
  <c r="F17" i="15" a="1"/>
  <c r="F17" i="15" s="1"/>
  <c r="F18" i="15" s="1"/>
  <c r="H18" i="15" s="1"/>
  <c r="J505" i="55" a="1"/>
  <c r="J505" i="55" s="1"/>
  <c r="H448" i="55" a="1"/>
  <c r="H448" i="55" s="1"/>
  <c r="L448" i="55" s="1"/>
  <c r="H65" i="55" a="1"/>
  <c r="H65" i="55" s="1"/>
  <c r="L65" i="55" s="1"/>
  <c r="H93" i="55" a="1"/>
  <c r="H93" i="55" s="1"/>
  <c r="H293" i="55" a="1"/>
  <c r="H293" i="55" s="1"/>
  <c r="H23" i="55" a="1"/>
  <c r="H23" i="55" s="1"/>
  <c r="J495" i="55" a="1"/>
  <c r="J495" i="55" s="1"/>
  <c r="L495" i="55" s="1"/>
  <c r="J469" i="55" a="1"/>
  <c r="J469" i="55" s="1"/>
  <c r="J147" i="55" a="1"/>
  <c r="J147" i="55" s="1"/>
  <c r="J396" i="55" a="1"/>
  <c r="J396" i="55" s="1"/>
  <c r="L396" i="55" s="1"/>
  <c r="J365" i="55" a="1"/>
  <c r="J365" i="55" s="1"/>
  <c r="J309" i="55" a="1"/>
  <c r="J309" i="55" s="1"/>
  <c r="E27" i="70" a="1"/>
  <c r="E27" i="70" s="1"/>
  <c r="F35" i="70" a="1"/>
  <c r="F35" i="70" s="1"/>
  <c r="F29" i="70" a="1"/>
  <c r="F29" i="70" s="1"/>
  <c r="E37" i="70" a="1"/>
  <c r="E37" i="70" s="1"/>
  <c r="E32" i="70" a="1"/>
  <c r="E32" i="70" s="1"/>
  <c r="F40" i="70" a="1"/>
  <c r="F40" i="70" s="1"/>
  <c r="E34" i="70" a="1"/>
  <c r="E34" i="70" s="1"/>
  <c r="F41" i="70" a="1"/>
  <c r="F41" i="70" s="1"/>
  <c r="F43" i="70" a="1"/>
  <c r="F43" i="70" s="1"/>
  <c r="H184" i="55" a="1"/>
  <c r="H184" i="55" s="1"/>
  <c r="H505" i="55" a="1"/>
  <c r="H505" i="55" s="1"/>
  <c r="H225" i="55" a="1"/>
  <c r="H225" i="55" s="1"/>
  <c r="L225" i="55" s="1"/>
  <c r="F24" i="15" a="1"/>
  <c r="F24" i="15" s="1"/>
  <c r="H482" i="55" a="1"/>
  <c r="H482" i="55" s="1"/>
  <c r="H32" i="55" a="1"/>
  <c r="H32" i="55" s="1"/>
  <c r="H306" i="55" a="1"/>
  <c r="H306" i="55" s="1"/>
  <c r="H244" i="55" a="1"/>
  <c r="H244" i="55" s="1"/>
  <c r="H300" i="55" a="1"/>
  <c r="H300" i="55" s="1"/>
  <c r="L300" i="55" s="1"/>
  <c r="J545" i="55" a="1"/>
  <c r="J545" i="55" s="1"/>
  <c r="J127" i="55" a="1"/>
  <c r="J127" i="55" s="1"/>
  <c r="J279" i="55" a="1"/>
  <c r="J279" i="55" s="1"/>
  <c r="J465" i="55" a="1"/>
  <c r="J465" i="55" s="1"/>
  <c r="J277" i="55" a="1"/>
  <c r="J277" i="55" s="1"/>
  <c r="J473" i="55" a="1"/>
  <c r="J473" i="55" s="1"/>
  <c r="H239" i="55" a="1"/>
  <c r="H239" i="55" s="1"/>
  <c r="E35" i="15" a="1"/>
  <c r="E35" i="15" s="1"/>
  <c r="E36" i="15" s="1"/>
  <c r="F14" i="15" a="1"/>
  <c r="F14" i="15" s="1"/>
  <c r="H14" i="15" s="1"/>
  <c r="H334" i="55" a="1"/>
  <c r="H334" i="55" s="1"/>
  <c r="H90" i="55" a="1"/>
  <c r="H90" i="55" s="1"/>
  <c r="L90" i="55" s="1"/>
  <c r="H157" i="55" a="1"/>
  <c r="H157" i="55" s="1"/>
  <c r="L157" i="55" s="1"/>
  <c r="H35" i="55" a="1"/>
  <c r="H35" i="55" s="1"/>
  <c r="H42" i="55" a="1"/>
  <c r="H42" i="55" s="1"/>
  <c r="J227" i="55" a="1"/>
  <c r="J227" i="55" s="1"/>
  <c r="J508" i="55" a="1"/>
  <c r="J508" i="55" s="1"/>
  <c r="L508" i="55" s="1"/>
  <c r="J54" i="55" a="1"/>
  <c r="J54" i="55" s="1"/>
  <c r="J394" i="55" a="1"/>
  <c r="J394" i="55" s="1"/>
  <c r="J171" i="55" a="1"/>
  <c r="J171" i="55" s="1"/>
  <c r="F33" i="70" a="1"/>
  <c r="F33" i="70" s="1"/>
  <c r="J219" i="55" a="1"/>
  <c r="J219" i="55" s="1"/>
  <c r="J38" i="55" a="1"/>
  <c r="J38" i="55" s="1"/>
  <c r="F13" i="12" a="1"/>
  <c r="F13" i="12" s="1"/>
  <c r="H13" i="12" s="1"/>
  <c r="F15" i="15" a="1"/>
  <c r="F15" i="15" s="1"/>
  <c r="F16" i="15" s="1"/>
  <c r="F20" i="15" a="1"/>
  <c r="F20" i="15" s="1"/>
  <c r="H262" i="55" a="1"/>
  <c r="H262" i="55" s="1"/>
  <c r="H154" i="55" a="1"/>
  <c r="H154" i="55" s="1"/>
  <c r="L154" i="55" s="1"/>
  <c r="E12" i="15" a="1"/>
  <c r="E12" i="15" s="1"/>
  <c r="E13" i="15" s="1"/>
  <c r="H522" i="55" a="1"/>
  <c r="H522" i="55" s="1"/>
  <c r="H128" i="55" a="1"/>
  <c r="H128" i="55" s="1"/>
  <c r="J435" i="55" a="1"/>
  <c r="J435" i="55" s="1"/>
  <c r="L435" i="55" s="1"/>
  <c r="J406" i="55" a="1"/>
  <c r="J406" i="55" s="1"/>
  <c r="L406" i="55" s="1"/>
  <c r="J375" i="55" a="1"/>
  <c r="J375" i="55" s="1"/>
  <c r="J454" i="55" a="1"/>
  <c r="J454" i="55" s="1"/>
  <c r="J458" i="55" a="1"/>
  <c r="J458" i="55" s="1"/>
  <c r="J551" i="55" a="1"/>
  <c r="J551" i="55" s="1"/>
  <c r="J432" i="55" a="1"/>
  <c r="J432" i="55" s="1"/>
  <c r="H533" i="55" a="1"/>
  <c r="H533" i="55" s="1"/>
  <c r="L533" i="55" s="1"/>
  <c r="E10" i="15" a="1"/>
  <c r="E10" i="15" s="1"/>
  <c r="G10" i="15" s="1"/>
  <c r="G11" i="15" s="1"/>
  <c r="H14" i="55" a="1"/>
  <c r="H14" i="55" s="1"/>
  <c r="H551" i="55" a="1"/>
  <c r="H551" i="55" s="1"/>
  <c r="F32" i="15" a="1"/>
  <c r="F32" i="15" s="1"/>
  <c r="F33" i="15" s="1"/>
  <c r="H476" i="55" a="1"/>
  <c r="H476" i="55" s="1"/>
  <c r="H55" i="55" a="1"/>
  <c r="H55" i="55" s="1"/>
  <c r="L55" i="55" s="1"/>
  <c r="H84" i="55" a="1"/>
  <c r="H84" i="55" s="1"/>
  <c r="H333" i="55" a="1"/>
  <c r="H333" i="55" s="1"/>
  <c r="J98" i="55" a="1"/>
  <c r="J98" i="55" s="1"/>
  <c r="J470" i="55" a="1"/>
  <c r="J470" i="55" s="1"/>
  <c r="J304" i="55" a="1"/>
  <c r="J304" i="55" s="1"/>
  <c r="J578" i="55" a="1"/>
  <c r="J578" i="55" s="1"/>
  <c r="J138" i="55" a="1"/>
  <c r="J138" i="55" s="1"/>
  <c r="F31" i="70" a="1"/>
  <c r="F31" i="70" s="1"/>
  <c r="F39" i="70" a="1"/>
  <c r="F39" i="70" s="1"/>
  <c r="E33" i="70" a="1"/>
  <c r="E33" i="70" s="1"/>
  <c r="E28" i="70" a="1"/>
  <c r="E28" i="70" s="1"/>
  <c r="F36" i="70" a="1"/>
  <c r="F36" i="70" s="1"/>
  <c r="F30" i="70" a="1"/>
  <c r="F30" i="70" s="1"/>
  <c r="E38" i="70" a="1"/>
  <c r="E38" i="70" s="1"/>
  <c r="F42" i="70" a="1"/>
  <c r="F42" i="70" s="1"/>
  <c r="F23" i="70" a="1"/>
  <c r="F23" i="70" s="1"/>
  <c r="H21" i="55" a="1"/>
  <c r="H21" i="55" s="1"/>
  <c r="L21" i="55" s="1"/>
  <c r="H132" i="55" a="1"/>
  <c r="H132" i="55" s="1"/>
  <c r="H56" i="55" a="1"/>
  <c r="H56" i="55" s="1"/>
  <c r="H321" i="55" a="1"/>
  <c r="H321" i="55" s="1"/>
  <c r="H231" i="55" a="1"/>
  <c r="H231" i="55" s="1"/>
  <c r="H407" i="55" a="1"/>
  <c r="H407" i="55" s="1"/>
  <c r="H53" i="55" a="1"/>
  <c r="H53" i="55" s="1"/>
  <c r="J283" i="55" a="1"/>
  <c r="J283" i="55" s="1"/>
  <c r="L283" i="55" s="1"/>
  <c r="J512" i="55" a="1"/>
  <c r="J512" i="55" s="1"/>
  <c r="J499" i="55" a="1"/>
  <c r="J499" i="55" s="1"/>
  <c r="J562" i="55" a="1"/>
  <c r="J562" i="55" s="1"/>
  <c r="J64" i="55" a="1"/>
  <c r="J64" i="55" s="1"/>
  <c r="J350" i="55" a="1"/>
  <c r="J350" i="55" s="1"/>
  <c r="F30" i="15" a="1"/>
  <c r="F30" i="15" s="1"/>
  <c r="E4" i="70" a="1"/>
  <c r="E4" i="70" s="1"/>
  <c r="H18" i="55" a="1"/>
  <c r="H18" i="55" s="1"/>
  <c r="F4" i="12" a="1"/>
  <c r="F4" i="12" s="1"/>
  <c r="H249" i="55" a="1"/>
  <c r="H249" i="55" s="1"/>
  <c r="H24" i="55" a="1"/>
  <c r="H24" i="55" s="1"/>
  <c r="H256" i="55" a="1"/>
  <c r="H256" i="55" s="1"/>
  <c r="H31" i="55" a="1"/>
  <c r="H31" i="55" s="1"/>
  <c r="J409" i="55" a="1"/>
  <c r="J409" i="55" s="1"/>
  <c r="J442" i="55" a="1"/>
  <c r="J442" i="55" s="1"/>
  <c r="L442" i="55" s="1"/>
  <c r="J565" i="55" a="1"/>
  <c r="J565" i="55" s="1"/>
  <c r="J139" i="55" a="1"/>
  <c r="J139" i="55" s="1"/>
  <c r="J392" i="55" a="1"/>
  <c r="J392" i="55" s="1"/>
  <c r="J427" i="55" a="1"/>
  <c r="J427" i="55" s="1"/>
  <c r="J553" i="55" a="1"/>
  <c r="J553" i="55" s="1"/>
  <c r="J148" i="55" a="1"/>
  <c r="J148" i="55" s="1"/>
  <c r="J89" i="55" a="1"/>
  <c r="J89" i="55" s="1"/>
  <c r="J197" i="55" a="1"/>
  <c r="J197" i="55" s="1"/>
  <c r="J99" i="55" a="1"/>
  <c r="J99" i="55" s="1"/>
  <c r="J193" i="55" a="1"/>
  <c r="J193" i="55" s="1"/>
  <c r="J572" i="55" a="1"/>
  <c r="J572" i="55" s="1"/>
  <c r="J59" i="55" a="1"/>
  <c r="J59" i="55" s="1"/>
  <c r="J421" i="55" a="1"/>
  <c r="J421" i="55" s="1"/>
  <c r="J370" i="55" a="1"/>
  <c r="J370" i="55" s="1"/>
  <c r="J207" i="55" a="1"/>
  <c r="J207" i="55" s="1"/>
  <c r="J79" i="55" a="1"/>
  <c r="J79" i="55" s="1"/>
  <c r="J550" i="55" a="1"/>
  <c r="J550" i="55" s="1"/>
  <c r="J125" i="55" a="1"/>
  <c r="J125" i="55" s="1"/>
  <c r="J568" i="55" a="1"/>
  <c r="J568" i="55" s="1"/>
  <c r="F47" i="15" a="1"/>
  <c r="F47" i="15" s="1"/>
  <c r="J345" i="55" a="1"/>
  <c r="J345" i="55" s="1"/>
  <c r="J232" i="55" a="1"/>
  <c r="J232" i="55" s="1"/>
  <c r="J206" i="55" a="1"/>
  <c r="J206" i="55" s="1"/>
  <c r="J273" i="55" a="1"/>
  <c r="J273" i="55" s="1"/>
  <c r="J301" i="55" a="1"/>
  <c r="J301" i="55" s="1"/>
  <c r="J449" i="55" a="1"/>
  <c r="J449" i="55" s="1"/>
  <c r="J262" i="55" a="1"/>
  <c r="J262" i="55" s="1"/>
  <c r="J341" i="55" a="1"/>
  <c r="J341" i="55" s="1"/>
  <c r="J346" i="55" a="1"/>
  <c r="J346" i="55" s="1"/>
  <c r="J168" i="55" a="1"/>
  <c r="J168" i="55" s="1"/>
  <c r="J67" i="55" a="1"/>
  <c r="J67" i="55" s="1"/>
  <c r="J150" i="55" a="1"/>
  <c r="J150" i="55" s="1"/>
  <c r="J334" i="55" a="1"/>
  <c r="J334" i="55" s="1"/>
  <c r="H578" i="55" a="1"/>
  <c r="H578" i="55" s="1"/>
  <c r="H552" i="55" a="1"/>
  <c r="H552" i="55" s="1"/>
  <c r="L552" i="55" s="1"/>
  <c r="J390" i="55" a="1"/>
  <c r="J390" i="55" s="1"/>
  <c r="J408" i="55" a="1"/>
  <c r="J408" i="55" s="1"/>
  <c r="J93" i="55" a="1"/>
  <c r="J93" i="55" s="1"/>
  <c r="J75" i="55" a="1"/>
  <c r="J75" i="55" s="1"/>
  <c r="J513" i="55" a="1"/>
  <c r="J513" i="55" s="1"/>
  <c r="J364" i="55" a="1"/>
  <c r="J364" i="55" s="1"/>
  <c r="J401" i="55" a="1"/>
  <c r="J401" i="55" s="1"/>
  <c r="J586" i="55" a="1"/>
  <c r="J586" i="55" s="1"/>
  <c r="J335" i="55" a="1"/>
  <c r="J335" i="55" s="1"/>
  <c r="J380" i="55" a="1"/>
  <c r="J380" i="55" s="1"/>
  <c r="J76" i="55" a="1"/>
  <c r="J76" i="55" s="1"/>
  <c r="J575" i="55" a="1"/>
  <c r="J575" i="55" s="1"/>
  <c r="J217" i="55" a="1"/>
  <c r="J217" i="55" s="1"/>
  <c r="J407" i="55" a="1"/>
  <c r="J407" i="55" s="1"/>
  <c r="J231" i="55" a="1"/>
  <c r="J231" i="55" s="1"/>
  <c r="J321" i="55" a="1"/>
  <c r="J321" i="55" s="1"/>
  <c r="J25" i="55" a="1"/>
  <c r="J25" i="55" s="1"/>
  <c r="J378" i="55" a="1"/>
  <c r="J378" i="55" s="1"/>
  <c r="J539" i="55" a="1"/>
  <c r="J539" i="55" s="1"/>
  <c r="J462" i="55" a="1"/>
  <c r="J462" i="55" s="1"/>
  <c r="J446" i="55" a="1"/>
  <c r="J446" i="55" s="1"/>
  <c r="J450" i="55" a="1"/>
  <c r="J450" i="55" s="1"/>
  <c r="J297" i="55" a="1"/>
  <c r="J297" i="55" s="1"/>
  <c r="J33" i="55" a="1"/>
  <c r="J33" i="55" s="1"/>
  <c r="J498" i="55" a="1"/>
  <c r="J498" i="55" s="1"/>
  <c r="J286" i="55" a="1"/>
  <c r="J286" i="55" s="1"/>
  <c r="J388" i="55" a="1"/>
  <c r="J388" i="55" s="1"/>
  <c r="J519" i="55" a="1"/>
  <c r="J519" i="55" s="1"/>
  <c r="J124" i="55" a="1"/>
  <c r="J124" i="55" s="1"/>
  <c r="J270" i="55" a="1"/>
  <c r="J270" i="55" s="1"/>
  <c r="J41" i="55" a="1"/>
  <c r="J41" i="55" s="1"/>
  <c r="J87" i="55" a="1"/>
  <c r="J87" i="55" s="1"/>
  <c r="J172" i="55" a="1"/>
  <c r="J172" i="55" s="1"/>
  <c r="J577" i="55" a="1"/>
  <c r="J577" i="55" s="1"/>
  <c r="J238" i="55" a="1"/>
  <c r="J238" i="55" s="1"/>
  <c r="H277" i="55" a="1"/>
  <c r="H277" i="55" s="1"/>
  <c r="E11" i="12" a="1"/>
  <c r="E11" i="12" s="1"/>
  <c r="F14" i="70" a="1"/>
  <c r="F14" i="70" s="1"/>
  <c r="E52" i="15" a="1"/>
  <c r="E52" i="15" s="1"/>
  <c r="F7" i="12" a="1"/>
  <c r="F7" i="12" s="1"/>
  <c r="H195" i="55" a="1"/>
  <c r="H195" i="55" s="1"/>
  <c r="L195" i="55" s="1"/>
  <c r="H241" i="55" a="1"/>
  <c r="H241" i="55" s="1"/>
  <c r="L241" i="55" s="1"/>
  <c r="H188" i="55" a="1"/>
  <c r="H188" i="55" s="1"/>
  <c r="L188" i="55" s="1"/>
  <c r="J107" i="55" a="1"/>
  <c r="J107" i="55" s="1"/>
  <c r="J459" i="55" a="1"/>
  <c r="J459" i="55" s="1"/>
  <c r="J425" i="55" a="1"/>
  <c r="J425" i="55" s="1"/>
  <c r="J293" i="55" a="1"/>
  <c r="J293" i="55" s="1"/>
  <c r="J85" i="55" a="1"/>
  <c r="J85" i="55" s="1"/>
  <c r="J272" i="55" a="1"/>
  <c r="J272" i="55" s="1"/>
  <c r="J32" i="55" a="1"/>
  <c r="J32" i="55" s="1"/>
  <c r="J180" i="55" a="1"/>
  <c r="J180" i="55" s="1"/>
  <c r="J447" i="55" a="1"/>
  <c r="J447" i="55" s="1"/>
  <c r="J536" i="55" a="1"/>
  <c r="J536" i="55" s="1"/>
  <c r="J275" i="55" a="1"/>
  <c r="J275" i="55" s="1"/>
  <c r="J440" i="55" a="1"/>
  <c r="J440" i="55" s="1"/>
  <c r="J555" i="55" a="1"/>
  <c r="J555" i="55" s="1"/>
  <c r="J332" i="55" a="1"/>
  <c r="J332" i="55" s="1"/>
  <c r="J143" i="55" a="1"/>
  <c r="J143" i="55" s="1"/>
  <c r="J486" i="55" a="1"/>
  <c r="J486" i="55" s="1"/>
  <c r="J584" i="55" a="1"/>
  <c r="J584" i="55" s="1"/>
  <c r="J351" i="55" a="1"/>
  <c r="J351" i="55" s="1"/>
  <c r="J229" i="55" a="1"/>
  <c r="J229" i="55" s="1"/>
  <c r="J222" i="55" a="1"/>
  <c r="J222" i="55" s="1"/>
  <c r="J336" i="55" a="1"/>
  <c r="J336" i="55" s="1"/>
  <c r="J70" i="55" a="1"/>
  <c r="J70" i="55" s="1"/>
  <c r="J56" i="55" a="1"/>
  <c r="J56" i="55" s="1"/>
  <c r="J184" i="55" a="1"/>
  <c r="J184" i="55" s="1"/>
  <c r="J324" i="55" a="1"/>
  <c r="J324" i="55" s="1"/>
  <c r="J570" i="55" a="1"/>
  <c r="J570" i="55" s="1"/>
  <c r="J373" i="55" a="1"/>
  <c r="J373" i="55" s="1"/>
  <c r="J314" i="55" a="1"/>
  <c r="J314" i="55" s="1"/>
  <c r="H365" i="55" a="1"/>
  <c r="H365" i="55" s="1"/>
  <c r="H445" i="55" a="1"/>
  <c r="H445" i="55" s="1"/>
  <c r="L445" i="55" s="1"/>
  <c r="H305" i="55" a="1"/>
  <c r="H305" i="55" s="1"/>
  <c r="L305" i="55" s="1"/>
  <c r="H453" i="55" a="1"/>
  <c r="H453" i="55" s="1"/>
  <c r="L453" i="55" s="1"/>
  <c r="H10" i="73"/>
  <c r="H52" i="73" s="1"/>
  <c r="F15" i="70" a="1"/>
  <c r="F15" i="70" s="1"/>
  <c r="H192" i="55" a="1"/>
  <c r="H192" i="55" s="1"/>
  <c r="L192" i="55" s="1"/>
  <c r="H127" i="55" a="1"/>
  <c r="H127" i="55" s="1"/>
  <c r="H266" i="55" a="1"/>
  <c r="H266" i="55" s="1"/>
  <c r="L266" i="55" s="1"/>
  <c r="H99" i="55" a="1"/>
  <c r="H99" i="55" s="1"/>
  <c r="J534" i="55" a="1"/>
  <c r="J534" i="55" s="1"/>
  <c r="J187" i="55" a="1"/>
  <c r="J187" i="55" s="1"/>
  <c r="J35" i="55" a="1"/>
  <c r="J35" i="55" s="1"/>
  <c r="F49" i="15" a="1"/>
  <c r="F49" i="15" s="1"/>
  <c r="J580" i="55" a="1"/>
  <c r="J580" i="55" s="1"/>
  <c r="J58" i="55" a="1"/>
  <c r="J58" i="55" s="1"/>
  <c r="J86" i="55" a="1"/>
  <c r="J86" i="55" s="1"/>
  <c r="J134" i="55" a="1"/>
  <c r="J134" i="55" s="1"/>
  <c r="J263" i="55" a="1"/>
  <c r="J263" i="55" s="1"/>
  <c r="J386" i="55" a="1"/>
  <c r="J386" i="55" s="1"/>
  <c r="J53" i="55" a="1"/>
  <c r="J53" i="55" s="1"/>
  <c r="J182" i="55" a="1"/>
  <c r="J182" i="55" s="1"/>
  <c r="J269" i="55" a="1"/>
  <c r="J269" i="55" s="1"/>
  <c r="J202" i="55" a="1"/>
  <c r="J202" i="55" s="1"/>
  <c r="J579" i="55" a="1"/>
  <c r="J579" i="55" s="1"/>
  <c r="J116" i="55" a="1"/>
  <c r="J116" i="55" s="1"/>
  <c r="J189" i="55" a="1"/>
  <c r="J189" i="55" s="1"/>
  <c r="J73" i="55" a="1"/>
  <c r="J73" i="55" s="1"/>
  <c r="J62" i="55" a="1"/>
  <c r="J62" i="55" s="1"/>
  <c r="J181" i="55" a="1"/>
  <c r="J181" i="55" s="1"/>
  <c r="J522" i="55" a="1"/>
  <c r="J522" i="55" s="1"/>
  <c r="J420" i="55" a="1"/>
  <c r="J420" i="55" s="1"/>
  <c r="H468" i="55" a="1"/>
  <c r="H468" i="55" s="1"/>
  <c r="L468" i="55" s="1"/>
  <c r="E7" i="70" a="1"/>
  <c r="E7" i="70" s="1"/>
  <c r="G7" i="70" s="1"/>
  <c r="H350" i="55" a="1"/>
  <c r="H350" i="55" s="1"/>
  <c r="H28" i="55" a="1"/>
  <c r="H28" i="55" s="1"/>
  <c r="L28" i="55" s="1"/>
  <c r="H521" i="55" a="1"/>
  <c r="H521" i="55" s="1"/>
  <c r="L521" i="55" s="1"/>
  <c r="E25" i="15" a="1"/>
  <c r="E25" i="15" s="1"/>
  <c r="G25" i="15" s="1"/>
  <c r="F13" i="70" a="1"/>
  <c r="F13" i="70" s="1"/>
  <c r="E19" i="15" a="1"/>
  <c r="E19" i="15" s="1"/>
  <c r="G19" i="15" s="1"/>
  <c r="J109" i="55" a="1"/>
  <c r="J109" i="55" s="1"/>
  <c r="J136" i="55" a="1"/>
  <c r="J136" i="55" s="1"/>
  <c r="J560" i="55" a="1"/>
  <c r="J560" i="55" s="1"/>
  <c r="J493" i="55" a="1"/>
  <c r="J493" i="55" s="1"/>
  <c r="J72" i="55" a="1"/>
  <c r="J72" i="55" s="1"/>
  <c r="J488" i="55" a="1"/>
  <c r="J488" i="55" s="1"/>
  <c r="J538" i="55" a="1"/>
  <c r="J538" i="55" s="1"/>
  <c r="J199" i="55" a="1"/>
  <c r="J199" i="55" s="1"/>
  <c r="J303" i="55" a="1"/>
  <c r="J303" i="55" s="1"/>
  <c r="J417" i="55" a="1"/>
  <c r="J417" i="55" s="1"/>
  <c r="J174" i="55" a="1"/>
  <c r="J174" i="55" s="1"/>
  <c r="J451" i="55" a="1"/>
  <c r="J451" i="55" s="1"/>
  <c r="J483" i="55" a="1"/>
  <c r="J483" i="55" s="1"/>
  <c r="J333" i="55" a="1"/>
  <c r="J333" i="55" s="1"/>
  <c r="J91" i="55" a="1"/>
  <c r="J91" i="55" s="1"/>
  <c r="J22" i="55" a="1"/>
  <c r="J22" i="55" s="1"/>
  <c r="J312" i="55" a="1"/>
  <c r="J312" i="55" s="1"/>
  <c r="J500" i="55" a="1"/>
  <c r="J500" i="55" s="1"/>
  <c r="J561" i="55" a="1"/>
  <c r="J561" i="55" s="1"/>
  <c r="J175" i="55" a="1"/>
  <c r="J175" i="55" s="1"/>
  <c r="J151" i="55" a="1"/>
  <c r="J151" i="55" s="1"/>
  <c r="J271" i="55" a="1"/>
  <c r="J271" i="55" s="1"/>
  <c r="J276" i="55" a="1"/>
  <c r="J276" i="55" s="1"/>
  <c r="J215" i="55" a="1"/>
  <c r="J215" i="55" s="1"/>
  <c r="J264" i="55" a="1"/>
  <c r="J264" i="55" s="1"/>
  <c r="J249" i="55" a="1"/>
  <c r="J249" i="55" s="1"/>
  <c r="J557" i="55" a="1"/>
  <c r="J557" i="55" s="1"/>
  <c r="J302" i="55" a="1"/>
  <c r="J302" i="55" s="1"/>
  <c r="H492" i="55" a="1"/>
  <c r="H492" i="55" s="1"/>
  <c r="L492" i="55" s="1"/>
  <c r="H467" i="55" a="1"/>
  <c r="H467" i="55" s="1"/>
  <c r="J535" i="55" a="1"/>
  <c r="J535" i="55" s="1"/>
  <c r="J574" i="55" a="1"/>
  <c r="J574" i="55" s="1"/>
  <c r="J559" i="55" a="1"/>
  <c r="J559" i="55" s="1"/>
  <c r="J282" i="55" a="1"/>
  <c r="J282" i="55" s="1"/>
  <c r="J287" i="55" a="1"/>
  <c r="J287" i="55" s="1"/>
  <c r="J497" i="55" a="1"/>
  <c r="J497" i="55" s="1"/>
  <c r="J558" i="55" a="1"/>
  <c r="J558" i="55" s="1"/>
  <c r="J173" i="55" a="1"/>
  <c r="J173" i="55" s="1"/>
  <c r="J36" i="55" a="1"/>
  <c r="J36" i="55" s="1"/>
  <c r="J501" i="55" a="1"/>
  <c r="J501" i="55" s="1"/>
  <c r="J14" i="55" a="1"/>
  <c r="J14" i="55" s="1"/>
  <c r="J517" i="55" a="1"/>
  <c r="J517" i="55" s="1"/>
  <c r="J443" i="55" a="1"/>
  <c r="J443" i="55" s="1"/>
  <c r="J244" i="55" a="1"/>
  <c r="J244" i="55" s="1"/>
  <c r="J306" i="55" a="1"/>
  <c r="J306" i="55" s="1"/>
  <c r="J361" i="55" a="1"/>
  <c r="J361" i="55" s="1"/>
  <c r="J113" i="55" a="1"/>
  <c r="J113" i="55" s="1"/>
  <c r="J23" i="55" a="1"/>
  <c r="J23" i="55" s="1"/>
  <c r="J118" i="55" a="1"/>
  <c r="J118" i="55" s="1"/>
  <c r="J414" i="55" a="1"/>
  <c r="J414" i="55" s="1"/>
  <c r="J404" i="55" a="1"/>
  <c r="J404" i="55" s="1"/>
  <c r="J211" i="55" a="1"/>
  <c r="J211" i="55" s="1"/>
  <c r="J213" i="55" a="1"/>
  <c r="J213" i="55" s="1"/>
  <c r="J60" i="55" a="1"/>
  <c r="J60" i="55" s="1"/>
  <c r="J194" i="55" a="1"/>
  <c r="J194" i="55" s="1"/>
  <c r="J485" i="55" a="1"/>
  <c r="J485" i="55" s="1"/>
  <c r="J39" i="55" a="1"/>
  <c r="J39" i="55" s="1"/>
  <c r="J422" i="55" a="1"/>
  <c r="J422" i="55" s="1"/>
  <c r="J130" i="55" a="1"/>
  <c r="J130" i="55" s="1"/>
  <c r="J201" i="55" a="1"/>
  <c r="J201" i="55" s="1"/>
  <c r="J291" i="55" a="1"/>
  <c r="J291" i="55" s="1"/>
  <c r="J165" i="55" a="1"/>
  <c r="J165" i="55" s="1"/>
  <c r="J245" i="55" a="1"/>
  <c r="J245" i="55" s="1"/>
  <c r="J476" i="55" a="1"/>
  <c r="J476" i="55" s="1"/>
  <c r="J112" i="55" a="1"/>
  <c r="J112" i="55" s="1"/>
  <c r="J526" i="55" a="1"/>
  <c r="J526" i="55" s="1"/>
  <c r="H582" i="55" a="1"/>
  <c r="H582" i="55" s="1"/>
  <c r="L582" i="55" s="1"/>
  <c r="H347" i="55" a="1"/>
  <c r="H347" i="55" s="1"/>
  <c r="L347" i="55" s="1"/>
  <c r="E10" i="12" a="1"/>
  <c r="E10" i="12" s="1"/>
  <c r="G10" i="12" s="1"/>
  <c r="F17" i="70" a="1"/>
  <c r="F17" i="70" s="1"/>
  <c r="H17" i="70" s="1"/>
  <c r="E9" i="70" a="1"/>
  <c r="E9" i="70" s="1"/>
  <c r="H227" i="55" a="1"/>
  <c r="H227" i="55" s="1"/>
  <c r="L227" i="55" s="1"/>
  <c r="H219" i="55" a="1"/>
  <c r="H219" i="55" s="1"/>
  <c r="L219" i="55" s="1"/>
  <c r="H185" i="55" a="1"/>
  <c r="H185" i="55" s="1"/>
  <c r="L185" i="55" s="1"/>
  <c r="J114" i="55" a="1"/>
  <c r="J114" i="55" s="1"/>
  <c r="J496" i="55" a="1"/>
  <c r="J496" i="55" s="1"/>
  <c r="J418" i="55" a="1"/>
  <c r="J418" i="55" s="1"/>
  <c r="J84" i="55" a="1"/>
  <c r="J84" i="55" s="1"/>
  <c r="J210" i="55" a="1"/>
  <c r="J210" i="55" s="1"/>
  <c r="J128" i="55" a="1"/>
  <c r="J128" i="55" s="1"/>
  <c r="J121" i="55" a="1"/>
  <c r="J121" i="55" s="1"/>
  <c r="J426" i="55" a="1"/>
  <c r="J426" i="55" s="1"/>
  <c r="J546" i="55" a="1"/>
  <c r="J546" i="55" s="1"/>
  <c r="J133" i="55" a="1"/>
  <c r="J133" i="55" s="1"/>
  <c r="J399" i="55" a="1"/>
  <c r="J399" i="55" s="1"/>
  <c r="J509" i="55" a="1"/>
  <c r="J509" i="55" s="1"/>
  <c r="J563" i="55" a="1"/>
  <c r="J563" i="55" s="1"/>
  <c r="J166" i="55" a="1"/>
  <c r="J166" i="55" s="1"/>
  <c r="J520" i="55" a="1"/>
  <c r="J520" i="55" s="1"/>
  <c r="J251" i="55" a="1"/>
  <c r="J251" i="55" s="1"/>
  <c r="J230" i="55" a="1"/>
  <c r="J230" i="55" s="1"/>
  <c r="J338" i="55" a="1"/>
  <c r="J338" i="55" s="1"/>
  <c r="J46" i="55" a="1"/>
  <c r="J46" i="55" s="1"/>
  <c r="J274" i="55" a="1"/>
  <c r="J274" i="55" s="1"/>
  <c r="J457" i="55" a="1"/>
  <c r="J457" i="55" s="1"/>
  <c r="J239" i="55" a="1"/>
  <c r="J239" i="55" s="1"/>
  <c r="J482" i="55" a="1"/>
  <c r="J482" i="55" s="1"/>
  <c r="J374" i="55" a="1"/>
  <c r="J374" i="55" s="1"/>
  <c r="J518" i="55" a="1"/>
  <c r="J518" i="55" s="1"/>
  <c r="H470" i="55" a="1"/>
  <c r="H470" i="55" s="1"/>
  <c r="F22" i="70" a="1"/>
  <c r="F22" i="70" s="1"/>
  <c r="H432" i="55" a="1"/>
  <c r="H432" i="55" s="1"/>
  <c r="H372" i="55" a="1"/>
  <c r="H372" i="55" s="1"/>
  <c r="L372" i="55" s="1"/>
  <c r="H502" i="55" a="1"/>
  <c r="H502" i="55" s="1"/>
  <c r="L502" i="55" s="1"/>
  <c r="H214" i="55" a="1"/>
  <c r="H214" i="55" s="1"/>
  <c r="L214" i="55" s="1"/>
  <c r="E22" i="70" a="1"/>
  <c r="E22" i="70" s="1"/>
  <c r="H13" i="55" a="1"/>
  <c r="H13" i="55" s="1"/>
  <c r="L13" i="55" s="1"/>
  <c r="H309" i="55" a="1"/>
  <c r="H309" i="55" s="1"/>
  <c r="F44" i="15" a="1"/>
  <c r="F44" i="15" s="1"/>
  <c r="F45" i="15" s="1"/>
  <c r="J455" i="55" a="1"/>
  <c r="J455" i="55" s="1"/>
  <c r="J200" i="55" a="1"/>
  <c r="J200" i="55" s="1"/>
  <c r="J31" i="55" a="1"/>
  <c r="J31" i="55" s="1"/>
  <c r="J256" i="55" a="1"/>
  <c r="J256" i="55" s="1"/>
  <c r="J540" i="55" a="1"/>
  <c r="J540" i="55" s="1"/>
  <c r="J24" i="55" a="1"/>
  <c r="J24" i="55" s="1"/>
  <c r="J360" i="55" a="1"/>
  <c r="J360" i="55" s="1"/>
  <c r="J234" i="55" a="1"/>
  <c r="J234" i="55" s="1"/>
  <c r="J368" i="55" a="1"/>
  <c r="J368" i="55" s="1"/>
  <c r="J261" i="55" a="1"/>
  <c r="J261" i="55" s="1"/>
  <c r="J382" i="55" a="1"/>
  <c r="J382" i="55" s="1"/>
  <c r="J464" i="55" a="1"/>
  <c r="J464" i="55" s="1"/>
  <c r="J240" i="55" a="1"/>
  <c r="J240" i="55" s="1"/>
  <c r="J316" i="55" a="1"/>
  <c r="J316" i="55" s="1"/>
  <c r="J289" i="55" a="1"/>
  <c r="J289" i="55" s="1"/>
  <c r="J429" i="55" a="1"/>
  <c r="J429" i="55" s="1"/>
  <c r="J385" i="55" a="1"/>
  <c r="J385" i="55" s="1"/>
  <c r="J515" i="55" a="1"/>
  <c r="J515" i="55" s="1"/>
  <c r="J308" i="55" a="1"/>
  <c r="J308" i="55" s="1"/>
  <c r="J183" i="55" a="1"/>
  <c r="J183" i="55" s="1"/>
  <c r="J110" i="55" a="1"/>
  <c r="J110" i="55" s="1"/>
  <c r="J299" i="55" a="1"/>
  <c r="J299" i="55" s="1"/>
  <c r="J257" i="55" a="1"/>
  <c r="J257" i="55" s="1"/>
  <c r="J40" i="55" a="1"/>
  <c r="J40" i="55" s="1"/>
  <c r="J42" i="55" a="1"/>
  <c r="J42" i="55" s="1"/>
  <c r="J284" i="55" a="1"/>
  <c r="J284" i="55" s="1"/>
  <c r="J178" i="55" a="1"/>
  <c r="J178" i="55" s="1"/>
  <c r="J132" i="55" a="1"/>
  <c r="J132" i="55" s="1"/>
  <c r="H358" i="55" a="1"/>
  <c r="H358" i="55" s="1"/>
  <c r="L358" i="55" s="1"/>
  <c r="F23" i="15" a="1"/>
  <c r="F23" i="15" s="1"/>
  <c r="H285" i="55" a="1"/>
  <c r="H285" i="55" s="1"/>
  <c r="L285" i="55" s="1"/>
  <c r="H437" i="55" a="1"/>
  <c r="H437" i="55" s="1"/>
  <c r="E8" i="12" a="1"/>
  <c r="E8" i="12" s="1"/>
  <c r="G8" i="12" s="1"/>
  <c r="E38" i="15"/>
  <c r="H17" i="15"/>
  <c r="H24" i="15"/>
  <c r="G42" i="15"/>
  <c r="F11" i="15"/>
  <c r="H21" i="15"/>
  <c r="F36" i="15"/>
  <c r="F13" i="15"/>
  <c r="F38" i="15"/>
  <c r="E40" i="15"/>
  <c r="H42" i="15"/>
  <c r="H39" i="15"/>
  <c r="G24" i="15"/>
  <c r="H29" i="15"/>
  <c r="G21" i="15"/>
  <c r="F26" i="15"/>
  <c r="G29" i="15"/>
  <c r="C14" i="39"/>
  <c r="H15" i="70" l="1"/>
  <c r="L233" i="55"/>
  <c r="L279" i="55"/>
  <c r="L52" i="55"/>
  <c r="L68" i="55"/>
  <c r="G17" i="15"/>
  <c r="L242" i="55"/>
  <c r="H21" i="70"/>
  <c r="G5" i="12"/>
  <c r="L198" i="55"/>
  <c r="L135" i="55"/>
  <c r="L100" i="55"/>
  <c r="L478" i="55"/>
  <c r="L101" i="55"/>
  <c r="L69" i="55"/>
  <c r="L294" i="55"/>
  <c r="L530" i="55"/>
  <c r="L412" i="55"/>
  <c r="L541" i="55"/>
  <c r="L103" i="55"/>
  <c r="L43" i="55"/>
  <c r="L254" i="55"/>
  <c r="I50" i="15"/>
  <c r="I52" i="15"/>
  <c r="I54" i="15"/>
  <c r="I48" i="15"/>
  <c r="I51" i="15"/>
  <c r="L352" i="55"/>
  <c r="B23" i="55"/>
  <c r="A22" i="55"/>
  <c r="L99" i="55"/>
  <c r="L353" i="55"/>
  <c r="L354" i="55"/>
  <c r="E11" i="15"/>
  <c r="L249" i="55"/>
  <c r="L164" i="55"/>
  <c r="L262" i="55"/>
  <c r="L125" i="55"/>
  <c r="L132" i="55"/>
  <c r="L239" i="55"/>
  <c r="L244" i="55"/>
  <c r="L79" i="55"/>
  <c r="L181" i="55"/>
  <c r="L171" i="55"/>
  <c r="L202" i="55"/>
  <c r="L193" i="55"/>
  <c r="L189" i="55"/>
  <c r="L174" i="55"/>
  <c r="L151" i="55"/>
  <c r="L230" i="55"/>
  <c r="L183" i="55"/>
  <c r="L133" i="55"/>
  <c r="L89" i="55"/>
  <c r="L261" i="55"/>
  <c r="L247" i="55"/>
  <c r="L98" i="55"/>
  <c r="L231" i="55"/>
  <c r="L128" i="55"/>
  <c r="L93" i="55"/>
  <c r="L109" i="55"/>
  <c r="L229" i="55"/>
  <c r="L217" i="55"/>
  <c r="L136" i="55"/>
  <c r="L222" i="55"/>
  <c r="L240" i="55"/>
  <c r="L172" i="55"/>
  <c r="L130" i="55"/>
  <c r="L147" i="55"/>
  <c r="L82" i="55"/>
  <c r="L86" i="55"/>
  <c r="L215" i="55"/>
  <c r="L150" i="55"/>
  <c r="L110" i="55"/>
  <c r="L256" i="55"/>
  <c r="L84" i="55"/>
  <c r="L178" i="55"/>
  <c r="L121" i="55"/>
  <c r="L114" i="55"/>
  <c r="L165" i="55"/>
  <c r="L134" i="55"/>
  <c r="L107" i="55"/>
  <c r="L139" i="55"/>
  <c r="L180" i="55"/>
  <c r="L197" i="55"/>
  <c r="L91" i="55"/>
  <c r="L116" i="55"/>
  <c r="L199" i="55"/>
  <c r="L85" i="55"/>
  <c r="L245" i="55"/>
  <c r="L251" i="55"/>
  <c r="L194" i="55"/>
  <c r="L112" i="55"/>
  <c r="L238" i="55"/>
  <c r="L213" i="55"/>
  <c r="L127" i="55"/>
  <c r="L184" i="55"/>
  <c r="L207" i="55"/>
  <c r="L210" i="55"/>
  <c r="L166" i="55"/>
  <c r="L201" i="55"/>
  <c r="L175" i="55"/>
  <c r="L118" i="55"/>
  <c r="L143" i="55"/>
  <c r="L148" i="55"/>
  <c r="L124" i="55"/>
  <c r="L232" i="55"/>
  <c r="L113" i="55"/>
  <c r="L138" i="55"/>
  <c r="L168" i="55"/>
  <c r="L87" i="55"/>
  <c r="L187" i="55"/>
  <c r="L257" i="55"/>
  <c r="L206" i="55"/>
  <c r="L182" i="55"/>
  <c r="L211" i="55"/>
  <c r="L263" i="55"/>
  <c r="L234" i="55"/>
  <c r="L200" i="55"/>
  <c r="L173" i="55"/>
  <c r="G28" i="70"/>
  <c r="E45" i="15"/>
  <c r="L531" i="55"/>
  <c r="H12" i="15"/>
  <c r="H13" i="15" s="1"/>
  <c r="G27" i="15"/>
  <c r="G28" i="15" s="1"/>
  <c r="H23" i="15"/>
  <c r="G14" i="15"/>
  <c r="G39" i="15"/>
  <c r="G16" i="70"/>
  <c r="G6" i="12"/>
  <c r="L473" i="55"/>
  <c r="H18" i="70"/>
  <c r="L29" i="55"/>
  <c r="L337" i="55"/>
  <c r="L516" i="55"/>
  <c r="L265" i="55"/>
  <c r="L288" i="55"/>
  <c r="H27" i="15"/>
  <c r="H28" i="15" s="1"/>
  <c r="H4" i="12"/>
  <c r="L454" i="55"/>
  <c r="L268" i="55"/>
  <c r="L366" i="55"/>
  <c r="L489" i="55"/>
  <c r="H19" i="70"/>
  <c r="H37" i="15"/>
  <c r="H38" i="15" s="1"/>
  <c r="J16" i="55"/>
  <c r="J17" i="55" s="1"/>
  <c r="H16" i="55"/>
  <c r="H17" i="55" s="1"/>
  <c r="F34" i="15"/>
  <c r="E34" i="15"/>
  <c r="H41" i="70"/>
  <c r="H10" i="15"/>
  <c r="H11" i="15" s="1"/>
  <c r="F22" i="15"/>
  <c r="F55" i="15" s="1"/>
  <c r="H10" i="70"/>
  <c r="H30" i="15"/>
  <c r="H40" i="15"/>
  <c r="G35" i="15"/>
  <c r="H40" i="70"/>
  <c r="G32" i="70"/>
  <c r="G27" i="70"/>
  <c r="H9" i="12"/>
  <c r="H42" i="70"/>
  <c r="G12" i="15"/>
  <c r="G13" i="15" s="1"/>
  <c r="L565" i="55"/>
  <c r="L542" i="55"/>
  <c r="L494" i="55"/>
  <c r="L490" i="55"/>
  <c r="L524" i="55"/>
  <c r="L566" i="55"/>
  <c r="L525" i="55"/>
  <c r="L444" i="55"/>
  <c r="L556" i="55"/>
  <c r="L27" i="55"/>
  <c r="L74" i="55"/>
  <c r="L381" i="55"/>
  <c r="L477" i="55"/>
  <c r="L554" i="55"/>
  <c r="L467" i="55"/>
  <c r="L505" i="55"/>
  <c r="L369" i="55"/>
  <c r="L567" i="55"/>
  <c r="L430" i="55"/>
  <c r="L434" i="55"/>
  <c r="L470" i="55"/>
  <c r="L573" i="55"/>
  <c r="L479" i="55"/>
  <c r="L433" i="55"/>
  <c r="L363" i="55"/>
  <c r="G31" i="15"/>
  <c r="L12" i="55"/>
  <c r="E22" i="15"/>
  <c r="H13" i="70"/>
  <c r="H41" i="15"/>
  <c r="H43" i="15" s="1"/>
  <c r="L419" i="55"/>
  <c r="I46" i="15"/>
  <c r="L57" i="55"/>
  <c r="L506" i="55"/>
  <c r="L349" i="55"/>
  <c r="L395" i="55"/>
  <c r="L547" i="55"/>
  <c r="I53" i="15"/>
  <c r="L50" i="55"/>
  <c r="G37" i="15"/>
  <c r="G38" i="15" s="1"/>
  <c r="H15" i="15"/>
  <c r="H16" i="15" s="1"/>
  <c r="L64" i="55"/>
  <c r="H39" i="70"/>
  <c r="L562" i="55"/>
  <c r="H23" i="70"/>
  <c r="L304" i="55"/>
  <c r="G32" i="15"/>
  <c r="G33" i="15" s="1"/>
  <c r="L458" i="55"/>
  <c r="L465" i="55"/>
  <c r="L545" i="55"/>
  <c r="L469" i="55"/>
  <c r="L398" i="55"/>
  <c r="L376" i="55"/>
  <c r="G20" i="70"/>
  <c r="L487" i="55"/>
  <c r="H35" i="15"/>
  <c r="L18" i="55"/>
  <c r="H20" i="15"/>
  <c r="L317" i="55"/>
  <c r="G20" i="15"/>
  <c r="H32" i="15"/>
  <c r="H33" i="15" s="1"/>
  <c r="L512" i="55"/>
  <c r="G26" i="15"/>
  <c r="L329" i="55"/>
  <c r="L325" i="55"/>
  <c r="L327" i="55"/>
  <c r="L328" i="55"/>
  <c r="G44" i="70"/>
  <c r="G34" i="70"/>
  <c r="L19" i="55"/>
  <c r="L326" i="55"/>
  <c r="G4" i="70"/>
  <c r="L330" i="55"/>
  <c r="L499" i="55"/>
  <c r="G15" i="15"/>
  <c r="E16" i="15"/>
  <c r="L37" i="55"/>
  <c r="H47" i="70"/>
  <c r="H30" i="70"/>
  <c r="L375" i="55"/>
  <c r="L365" i="55"/>
  <c r="G11" i="12"/>
  <c r="H6" i="70"/>
  <c r="L409" i="55"/>
  <c r="G38" i="70"/>
  <c r="G47" i="70"/>
  <c r="G46" i="70"/>
  <c r="H4" i="70"/>
  <c r="G9" i="70"/>
  <c r="H31" i="70"/>
  <c r="H35" i="70"/>
  <c r="H48" i="70"/>
  <c r="H7" i="12"/>
  <c r="H36" i="70"/>
  <c r="H14" i="70"/>
  <c r="G48" i="70"/>
  <c r="G45" i="70"/>
  <c r="F15" i="12"/>
  <c r="F16" i="12" s="1"/>
  <c r="H44" i="70"/>
  <c r="I44" i="15"/>
  <c r="H31" i="15"/>
  <c r="H46" i="70"/>
  <c r="H5" i="70"/>
  <c r="G4" i="12"/>
  <c r="H43" i="70"/>
  <c r="F50" i="70"/>
  <c r="F51" i="70" s="1"/>
  <c r="G37" i="70"/>
  <c r="L578" i="55"/>
  <c r="E50" i="70"/>
  <c r="E51" i="70" s="1"/>
  <c r="G22" i="70"/>
  <c r="G8" i="70"/>
  <c r="H29" i="70"/>
  <c r="H11" i="70"/>
  <c r="E26" i="15"/>
  <c r="G33" i="70"/>
  <c r="E15" i="12"/>
  <c r="E16" i="12" s="1"/>
  <c r="H343" i="55"/>
  <c r="H344" i="55" s="1"/>
  <c r="L551" i="55"/>
  <c r="G12" i="70"/>
  <c r="G36" i="15"/>
  <c r="G40" i="15"/>
  <c r="H36" i="15"/>
  <c r="H588" i="55"/>
  <c r="H589" i="55" s="1"/>
  <c r="L31" i="55"/>
  <c r="L24" i="55"/>
  <c r="L53" i="55"/>
  <c r="H22" i="70"/>
  <c r="L350" i="55"/>
  <c r="L407" i="55"/>
  <c r="L321" i="55"/>
  <c r="L56" i="55"/>
  <c r="L14" i="55"/>
  <c r="H33" i="70"/>
  <c r="L42" i="55"/>
  <c r="L32" i="55"/>
  <c r="L23" i="55"/>
  <c r="H11" i="12"/>
  <c r="H27" i="70"/>
  <c r="G30" i="70"/>
  <c r="H32" i="70"/>
  <c r="G43" i="70"/>
  <c r="L286" i="55"/>
  <c r="L41" i="55"/>
  <c r="L483" i="55"/>
  <c r="L440" i="55"/>
  <c r="L449" i="55"/>
  <c r="L308" i="55"/>
  <c r="L73" i="55"/>
  <c r="L574" i="55"/>
  <c r="L301" i="55"/>
  <c r="L493" i="55"/>
  <c r="L486" i="55"/>
  <c r="L418" i="55"/>
  <c r="L575" i="55"/>
  <c r="L560" i="55"/>
  <c r="L392" i="55"/>
  <c r="G15" i="70"/>
  <c r="L264" i="55"/>
  <c r="L39" i="55"/>
  <c r="L312" i="55"/>
  <c r="L360" i="55"/>
  <c r="L421" i="55"/>
  <c r="L385" i="55"/>
  <c r="H37" i="70"/>
  <c r="G39" i="70"/>
  <c r="H28" i="70"/>
  <c r="G42" i="70"/>
  <c r="L427" i="55"/>
  <c r="L446" i="55"/>
  <c r="L414" i="55"/>
  <c r="L351" i="55"/>
  <c r="L451" i="55"/>
  <c r="L72" i="55"/>
  <c r="L497" i="55"/>
  <c r="L450" i="55"/>
  <c r="L447" i="55"/>
  <c r="L584" i="55"/>
  <c r="L373" i="55"/>
  <c r="L33" i="55"/>
  <c r="L59" i="55"/>
  <c r="L538" i="55"/>
  <c r="L572" i="55"/>
  <c r="L488" i="55"/>
  <c r="L520" i="55"/>
  <c r="L429" i="55"/>
  <c r="L586" i="55"/>
  <c r="L540" i="55"/>
  <c r="I49" i="15"/>
  <c r="L22" i="55"/>
  <c r="L374" i="55"/>
  <c r="L299" i="55"/>
  <c r="L399" i="55"/>
  <c r="L386" i="55"/>
  <c r="L580" i="55"/>
  <c r="L332" i="55"/>
  <c r="G30" i="15"/>
  <c r="H25" i="15"/>
  <c r="G5" i="70"/>
  <c r="G23" i="15"/>
  <c r="G6" i="70"/>
  <c r="L291" i="55"/>
  <c r="L518" i="55"/>
  <c r="L40" i="55"/>
  <c r="L577" i="55"/>
  <c r="L557" i="55"/>
  <c r="L464" i="55"/>
  <c r="L269" i="55"/>
  <c r="G14" i="70"/>
  <c r="L563" i="55"/>
  <c r="H9" i="70"/>
  <c r="G10" i="70"/>
  <c r="G7" i="12"/>
  <c r="L274" i="55"/>
  <c r="G13" i="70"/>
  <c r="L314" i="55"/>
  <c r="L270" i="55"/>
  <c r="L539" i="55"/>
  <c r="L70" i="55"/>
  <c r="L297" i="55"/>
  <c r="L282" i="55"/>
  <c r="L459" i="55"/>
  <c r="H12" i="70"/>
  <c r="G23" i="70"/>
  <c r="G19" i="70"/>
  <c r="H5" i="12"/>
  <c r="H8" i="12"/>
  <c r="G9" i="12"/>
  <c r="L570" i="55"/>
  <c r="L420" i="55"/>
  <c r="L46" i="55"/>
  <c r="L426" i="55"/>
  <c r="L75" i="55"/>
  <c r="L364" i="55"/>
  <c r="G26" i="70"/>
  <c r="G41" i="15"/>
  <c r="G43" i="15" s="1"/>
  <c r="H19" i="15"/>
  <c r="L333" i="55"/>
  <c r="L476" i="55"/>
  <c r="L432" i="55"/>
  <c r="L522" i="55"/>
  <c r="L35" i="55"/>
  <c r="L334" i="55"/>
  <c r="L277" i="55"/>
  <c r="L306" i="55"/>
  <c r="L482" i="55"/>
  <c r="L309" i="55"/>
  <c r="L293" i="55"/>
  <c r="J588" i="55"/>
  <c r="J589" i="55" s="1"/>
  <c r="L437" i="55"/>
  <c r="L273" i="55"/>
  <c r="G35" i="70"/>
  <c r="H38" i="70"/>
  <c r="G41" i="70"/>
  <c r="G40" i="70"/>
  <c r="J343" i="55"/>
  <c r="J344" i="55" s="1"/>
  <c r="L457" i="55"/>
  <c r="L25" i="55"/>
  <c r="L519" i="55"/>
  <c r="L67" i="55"/>
  <c r="L408" i="55"/>
  <c r="L287" i="55"/>
  <c r="L515" i="55"/>
  <c r="L324" i="55"/>
  <c r="L346" i="55"/>
  <c r="L388" i="55"/>
  <c r="L378" i="55"/>
  <c r="L76" i="55"/>
  <c r="L500" i="55"/>
  <c r="L425" i="55"/>
  <c r="L517" i="55"/>
  <c r="L550" i="55"/>
  <c r="G29" i="70"/>
  <c r="G31" i="70"/>
  <c r="H34" i="70"/>
  <c r="G36" i="70"/>
  <c r="L390" i="55"/>
  <c r="L422" i="55"/>
  <c r="L568" i="55"/>
  <c r="L496" i="55"/>
  <c r="L485" i="55"/>
  <c r="L443" i="55"/>
  <c r="L370" i="55"/>
  <c r="L535" i="55"/>
  <c r="L361" i="55"/>
  <c r="L272" i="55"/>
  <c r="L382" i="55"/>
  <c r="L276" i="55"/>
  <c r="L536" i="55"/>
  <c r="L302" i="55"/>
  <c r="L553" i="55"/>
  <c r="L501" i="55"/>
  <c r="L380" i="55"/>
  <c r="L335" i="55"/>
  <c r="L36" i="55"/>
  <c r="L498" i="55"/>
  <c r="L534" i="55"/>
  <c r="G17" i="70"/>
  <c r="L284" i="55"/>
  <c r="L546" i="55"/>
  <c r="G18" i="15"/>
  <c r="L579" i="55"/>
  <c r="L58" i="55"/>
  <c r="L303" i="55"/>
  <c r="L555" i="55"/>
  <c r="G12" i="12"/>
  <c r="L336" i="55"/>
  <c r="I47" i="15"/>
  <c r="L62" i="55"/>
  <c r="L559" i="55"/>
  <c r="L289" i="55"/>
  <c r="L513" i="55"/>
  <c r="L455" i="55"/>
  <c r="G11" i="70"/>
  <c r="L38" i="55"/>
  <c r="G13" i="12"/>
  <c r="H16" i="70"/>
  <c r="L462" i="55"/>
  <c r="L404" i="55"/>
  <c r="L341" i="55"/>
  <c r="L561" i="55"/>
  <c r="L394" i="55"/>
  <c r="L509" i="55"/>
  <c r="L275" i="55"/>
  <c r="L60" i="55"/>
  <c r="H6" i="12"/>
  <c r="L401" i="55"/>
  <c r="H7" i="70"/>
  <c r="L345" i="55"/>
  <c r="L338" i="55"/>
  <c r="L271" i="55"/>
  <c r="L526" i="55"/>
  <c r="G25" i="70"/>
  <c r="H10" i="12"/>
  <c r="L368" i="55"/>
  <c r="G21" i="70"/>
  <c r="L316" i="55"/>
  <c r="L417" i="55"/>
  <c r="L558" i="55"/>
  <c r="G18" i="70"/>
  <c r="L54" i="55"/>
  <c r="H8" i="70"/>
  <c r="H20" i="70"/>
  <c r="G24" i="70"/>
  <c r="K44" i="15" l="1"/>
  <c r="I45" i="15"/>
  <c r="A23" i="55"/>
  <c r="B24" i="55"/>
  <c r="L16" i="55"/>
  <c r="L17" i="55" s="1"/>
  <c r="E55" i="15"/>
  <c r="F57" i="15" s="1"/>
  <c r="H34" i="15"/>
  <c r="G34" i="15"/>
  <c r="G22" i="15"/>
  <c r="G16" i="15"/>
  <c r="H22" i="15"/>
  <c r="L343" i="55"/>
  <c r="L344" i="55" s="1"/>
  <c r="H50" i="70"/>
  <c r="L588" i="55"/>
  <c r="L589" i="55" s="1"/>
  <c r="H15" i="12"/>
  <c r="H26" i="15"/>
  <c r="G15" i="12"/>
  <c r="G50" i="70"/>
  <c r="B25" i="55" l="1"/>
  <c r="A24" i="55"/>
  <c r="H55" i="15"/>
  <c r="G55" i="15"/>
  <c r="B26" i="55" l="1"/>
  <c r="A25" i="55"/>
  <c r="H57" i="15"/>
  <c r="A26" i="55" l="1"/>
  <c r="B27" i="55"/>
  <c r="A27" i="55" s="1"/>
  <c r="B28" i="55" l="1"/>
  <c r="B29" i="55" s="1"/>
  <c r="A28" i="55" l="1"/>
  <c r="B30" i="55"/>
  <c r="A29" i="55"/>
  <c r="B31" i="55" l="1"/>
  <c r="A30" i="55"/>
  <c r="B32" i="55" l="1"/>
  <c r="A31" i="55"/>
  <c r="A32" i="55" l="1"/>
  <c r="B33" i="55"/>
  <c r="B34" i="55" l="1"/>
  <c r="A33" i="55"/>
  <c r="B35" i="55" l="1"/>
  <c r="A34" i="55"/>
  <c r="B36" i="55" l="1"/>
  <c r="B37" i="55" s="1"/>
  <c r="A37" i="55" s="1"/>
  <c r="A35" i="55"/>
  <c r="A36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A50" i="55" l="1"/>
  <c r="B51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B86" i="55" l="1"/>
  <c r="A85" i="55"/>
  <c r="B87" i="55" l="1"/>
  <c r="A86" i="55"/>
  <c r="B88" i="55" l="1"/>
  <c r="A87" i="55"/>
  <c r="A88" i="55" l="1"/>
  <c r="B89" i="55"/>
  <c r="B90" i="55" l="1"/>
  <c r="A89" i="55"/>
  <c r="A90" i="55" l="1"/>
  <c r="B91" i="55"/>
  <c r="B92" i="55" l="1"/>
  <c r="A91" i="55"/>
  <c r="B93" i="55" l="1"/>
  <c r="A92" i="55"/>
  <c r="A93" i="55" l="1"/>
  <c r="B94" i="55"/>
  <c r="A94" i="55" l="1"/>
  <c r="B95" i="55"/>
  <c r="B96" i="55" l="1"/>
  <c r="A95" i="55"/>
  <c r="B97" i="55" l="1"/>
  <c r="A96" i="55"/>
  <c r="B98" i="55" l="1"/>
  <c r="A97" i="55"/>
  <c r="A98" i="55" l="1"/>
  <c r="B99" i="55"/>
  <c r="B100" i="55" l="1"/>
  <c r="A99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A106" i="55" l="1"/>
  <c r="B107" i="55"/>
  <c r="B108" i="55" l="1"/>
  <c r="A107" i="55"/>
  <c r="A108" i="55" l="1"/>
  <c r="B109" i="55"/>
  <c r="B110" i="55" l="1"/>
  <c r="A109" i="55"/>
  <c r="A110" i="55" l="1"/>
  <c r="B111" i="55"/>
  <c r="B112" i="55" l="1"/>
  <c r="A111" i="55"/>
  <c r="B113" i="55" l="1"/>
  <c r="A112" i="55"/>
  <c r="A113" i="55" l="1"/>
  <c r="B114" i="55"/>
  <c r="B115" i="55" l="1"/>
  <c r="A114" i="55"/>
  <c r="B116" i="55" l="1"/>
  <c r="A115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A194" i="55" l="1"/>
  <c r="B195" i="55"/>
  <c r="B196" i="55" l="1"/>
  <c r="A195" i="55"/>
  <c r="B197" i="55" l="1"/>
  <c r="A196" i="55"/>
  <c r="B198" i="55" l="1"/>
  <c r="A197" i="55"/>
  <c r="A198" i="55" l="1"/>
  <c r="B199" i="55"/>
  <c r="B200" i="55" l="1"/>
  <c r="A199" i="55"/>
  <c r="B201" i="55" l="1"/>
  <c r="A200" i="55"/>
  <c r="B202" i="55" l="1"/>
  <c r="A201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A208" i="55" l="1"/>
  <c r="B209" i="55"/>
  <c r="B210" i="55" l="1"/>
  <c r="A209" i="55"/>
  <c r="A210" i="55" l="1"/>
  <c r="B211" i="55"/>
  <c r="B212" i="55" l="1"/>
  <c r="A211" i="55"/>
  <c r="A212" i="55" l="1"/>
  <c r="B213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B325" i="55" s="1"/>
  <c r="A323" i="55"/>
  <c r="B326" i="55" l="1"/>
  <c r="A325" i="55"/>
  <c r="A324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A338" i="55" l="1"/>
  <c r="B339" i="55"/>
  <c r="B340" i="55" l="1"/>
  <c r="A339" i="55"/>
  <c r="B341" i="55" l="1"/>
  <c r="A341" i="55" s="1"/>
  <c r="A340" i="55"/>
  <c r="B345" i="55" l="1"/>
  <c r="B346" i="55" l="1"/>
  <c r="A345" i="55"/>
  <c r="B347" i="55" l="1"/>
  <c r="A346" i="55"/>
  <c r="A347" i="55" l="1"/>
  <c r="B348" i="55"/>
  <c r="B349" i="55" l="1"/>
  <c r="A348" i="55"/>
  <c r="B350" i="55" l="1"/>
  <c r="B351" i="55" s="1"/>
  <c r="B352" i="55" s="1"/>
  <c r="A349" i="55"/>
  <c r="B353" i="55" l="1"/>
  <c r="A352" i="55"/>
  <c r="A350" i="55"/>
  <c r="B354" i="55" l="1"/>
  <c r="A353" i="55"/>
  <c r="A351" i="55"/>
  <c r="B355" i="55" l="1"/>
  <c r="A354" i="55"/>
  <c r="B356" i="55" l="1"/>
  <c r="A355" i="55"/>
  <c r="B357" i="55" l="1"/>
  <c r="A357" i="55" s="1"/>
  <c r="A356" i="55"/>
  <c r="B358" i="55" l="1"/>
  <c r="A358" i="55" s="1"/>
  <c r="B359" i="55" l="1"/>
  <c r="B360" i="55" s="1"/>
  <c r="A359" i="55" l="1"/>
  <c r="A360" i="55"/>
  <c r="B361" i="55"/>
  <c r="A361" i="55" l="1"/>
  <c r="B362" i="55"/>
  <c r="A362" i="55" l="1"/>
  <c r="B363" i="55"/>
  <c r="B364" i="55" l="1"/>
  <c r="A363" i="55"/>
  <c r="B365" i="55" l="1"/>
  <c r="A364" i="55"/>
  <c r="A365" i="55" l="1"/>
  <c r="B366" i="55"/>
  <c r="B367" i="55" l="1"/>
  <c r="A366" i="55"/>
  <c r="A367" i="55" l="1"/>
  <c r="B368" i="55"/>
  <c r="A368" i="55" l="1"/>
  <c r="B369" i="55"/>
  <c r="A369" i="55" l="1"/>
  <c r="B370" i="55"/>
  <c r="B371" i="55" l="1"/>
  <c r="A370" i="55"/>
  <c r="B372" i="55" l="1"/>
  <c r="A371" i="55"/>
  <c r="A372" i="55" l="1"/>
  <c r="B373" i="55"/>
  <c r="B374" i="55" l="1"/>
  <c r="A373" i="55"/>
  <c r="A374" i="55" l="1"/>
  <c r="B375" i="55"/>
  <c r="B376" i="55" l="1"/>
  <c r="A375" i="55"/>
  <c r="B377" i="55" l="1"/>
  <c r="A376" i="55"/>
  <c r="B378" i="55" l="1"/>
  <c r="A377" i="55"/>
  <c r="A378" i="55" l="1"/>
  <c r="B379" i="55"/>
  <c r="B380" i="55" l="1"/>
  <c r="A379" i="55"/>
  <c r="A380" i="55" l="1"/>
  <c r="B381" i="55"/>
  <c r="B382" i="55" s="1"/>
  <c r="A382" i="55" l="1"/>
  <c r="B383" i="55"/>
  <c r="A381" i="55"/>
  <c r="B384" i="55" l="1"/>
  <c r="A383" i="55"/>
  <c r="A77" i="60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 l="1"/>
  <c r="B385" i="55"/>
  <c r="T394" i="60"/>
  <c r="C394" i="60" s="1"/>
  <c r="C452" i="60" s="1"/>
  <c r="B386" i="55" l="1"/>
  <c r="A385" i="55"/>
  <c r="T452" i="60"/>
  <c r="I394" i="60"/>
  <c r="A386" i="55" l="1"/>
  <c r="B387" i="55"/>
  <c r="K394" i="60"/>
  <c r="I452" i="60"/>
  <c r="B388" i="55" l="1"/>
  <c r="A387" i="55"/>
  <c r="B389" i="55" l="1"/>
  <c r="A388" i="55"/>
  <c r="B390" i="55" l="1"/>
  <c r="A389" i="55"/>
  <c r="B391" i="55" l="1"/>
  <c r="A390" i="55"/>
  <c r="B392" i="55" l="1"/>
  <c r="A391" i="55"/>
  <c r="A392" i="55" l="1"/>
  <c r="B393" i="55"/>
  <c r="B394" i="55" l="1"/>
  <c r="A393" i="55"/>
  <c r="A394" i="55" l="1"/>
  <c r="B395" i="55"/>
  <c r="B396" i="55" l="1"/>
  <c r="A395" i="55"/>
  <c r="A396" i="55" l="1"/>
  <c r="B397" i="55"/>
  <c r="A397" i="55" l="1"/>
  <c r="B398" i="55"/>
  <c r="B399" i="55" l="1"/>
  <c r="A398" i="55"/>
  <c r="B400" i="55" l="1"/>
  <c r="A399" i="55"/>
  <c r="A400" i="55" l="1"/>
  <c r="B401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A441" i="55" l="1"/>
  <c r="B442" i="55"/>
  <c r="A442" i="55" l="1"/>
  <c r="B443" i="55"/>
  <c r="A443" i="55" l="1"/>
  <c r="B444" i="55"/>
  <c r="A444" i="55" l="1"/>
  <c r="B445" i="55"/>
  <c r="A445" i="55" l="1"/>
  <c r="B446" i="55"/>
  <c r="A446" i="55" l="1"/>
  <c r="B447" i="55"/>
  <c r="A447" i="55" l="1"/>
  <c r="B448" i="55"/>
  <c r="A448" i="55" l="1"/>
  <c r="B449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A457" i="55" l="1"/>
  <c r="B458" i="55"/>
  <c r="A458" i="55" l="1"/>
  <c r="B459" i="55"/>
  <c r="A459" i="55" l="1"/>
  <c r="B460" i="55"/>
  <c r="A460" i="55" l="1"/>
  <c r="B461" i="55"/>
  <c r="A461" i="55" l="1"/>
  <c r="B462" i="55"/>
  <c r="A462" i="55" l="1"/>
  <c r="B463" i="55"/>
  <c r="A463" i="55" l="1"/>
  <c r="B464" i="55"/>
  <c r="A464" i="55" l="1"/>
  <c r="B465" i="55"/>
  <c r="A465" i="55" l="1"/>
  <c r="B466" i="55"/>
  <c r="A466" i="55" l="1"/>
  <c r="B467" i="55"/>
  <c r="A467" i="55" l="1"/>
  <c r="B468" i="55"/>
  <c r="A468" i="55" l="1"/>
  <c r="B469" i="55"/>
  <c r="A469" i="55" l="1"/>
  <c r="B470" i="55"/>
  <c r="A470" i="55" l="1"/>
  <c r="B471" i="55"/>
  <c r="A471" i="55" l="1"/>
  <c r="B472" i="55"/>
  <c r="A472" i="55" l="1"/>
  <c r="B473" i="55"/>
  <c r="A473" i="55" l="1"/>
  <c r="B474" i="55"/>
  <c r="A474" i="55" l="1"/>
  <c r="B475" i="55"/>
  <c r="A475" i="55" l="1"/>
  <c r="B476" i="55"/>
  <c r="A476" i="55" l="1"/>
  <c r="B477" i="55"/>
  <c r="A477" i="55" l="1"/>
  <c r="B478" i="55"/>
  <c r="A478" i="55" l="1"/>
  <c r="B479" i="55"/>
  <c r="A479" i="55" l="1"/>
  <c r="B480" i="55"/>
  <c r="A480" i="55" l="1"/>
  <c r="B481" i="55"/>
  <c r="A481" i="55" l="1"/>
  <c r="B482" i="55"/>
  <c r="A482" i="55" l="1"/>
  <c r="B483" i="55"/>
  <c r="A483" i="55" l="1"/>
  <c r="B484" i="55"/>
  <c r="A484" i="55" l="1"/>
  <c r="B485" i="55"/>
  <c r="A485" i="55" l="1"/>
  <c r="B486" i="55"/>
  <c r="A486" i="55" l="1"/>
  <c r="B487" i="55"/>
  <c r="A487" i="55" l="1"/>
  <c r="B488" i="55"/>
  <c r="A488" i="55" l="1"/>
  <c r="B489" i="55"/>
  <c r="A489" i="55" l="1"/>
  <c r="B490" i="55"/>
  <c r="A490" i="55" l="1"/>
  <c r="B491" i="55"/>
  <c r="A491" i="55" l="1"/>
  <c r="B492" i="55"/>
  <c r="A492" i="55" l="1"/>
  <c r="B493" i="55"/>
  <c r="A493" i="55" l="1"/>
  <c r="B494" i="55"/>
  <c r="A494" i="55" l="1"/>
  <c r="B495" i="55"/>
  <c r="A495" i="55" l="1"/>
  <c r="B496" i="55"/>
  <c r="A496" i="55" l="1"/>
  <c r="B497" i="55"/>
  <c r="A497" i="55" l="1"/>
  <c r="B498" i="55"/>
  <c r="A498" i="55" l="1"/>
  <c r="B499" i="55"/>
  <c r="A499" i="55" l="1"/>
  <c r="B500" i="55"/>
  <c r="A500" i="55" l="1"/>
  <c r="B501" i="55"/>
  <c r="A501" i="55" l="1"/>
  <c r="B502" i="55"/>
  <c r="A502" i="55" l="1"/>
  <c r="B503" i="55"/>
  <c r="A503" i="55" l="1"/>
  <c r="B504" i="55"/>
  <c r="A504" i="55" l="1"/>
  <c r="B505" i="55"/>
  <c r="A505" i="55" l="1"/>
  <c r="B506" i="55"/>
  <c r="A506" i="55" l="1"/>
  <c r="B507" i="55"/>
  <c r="A507" i="55" l="1"/>
  <c r="B508" i="55"/>
  <c r="A508" i="55" l="1"/>
  <c r="B509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B516" i="55" l="1"/>
  <c r="A515" i="55"/>
  <c r="A516" i="55" l="1"/>
  <c r="B517" i="55"/>
  <c r="A517" i="55" l="1"/>
  <c r="B518" i="55"/>
  <c r="A518" i="55" l="1"/>
  <c r="B519" i="55"/>
  <c r="A519" i="55" l="1"/>
  <c r="B520" i="55"/>
  <c r="A520" i="55" l="1"/>
  <c r="B521" i="55"/>
  <c r="B522" i="55" l="1"/>
  <c r="A521" i="55"/>
  <c r="A522" i="55" l="1"/>
  <c r="B523" i="55"/>
  <c r="B524" i="55" l="1"/>
  <c r="A523" i="55"/>
  <c r="A524" i="55" l="1"/>
  <c r="B525" i="55"/>
  <c r="A525" i="55" l="1"/>
  <c r="B526" i="55"/>
  <c r="A526" i="55" l="1"/>
  <c r="B527" i="55"/>
  <c r="A527" i="55" l="1"/>
  <c r="B528" i="55"/>
  <c r="A528" i="55" l="1"/>
  <c r="B529" i="55"/>
  <c r="A529" i="55" l="1"/>
  <c r="B530" i="55"/>
  <c r="A530" i="55" l="1"/>
  <c r="B531" i="55"/>
  <c r="B532" i="55" l="1"/>
  <c r="A531" i="55"/>
  <c r="A532" i="55" l="1"/>
  <c r="B533" i="55"/>
  <c r="A533" i="55" l="1"/>
  <c r="B534" i="55"/>
  <c r="A534" i="55" l="1"/>
  <c r="B535" i="55"/>
  <c r="A535" i="55" l="1"/>
  <c r="B536" i="55"/>
  <c r="A536" i="55" l="1"/>
  <c r="B537" i="55"/>
  <c r="B538" i="55" l="1"/>
  <c r="A537" i="55"/>
  <c r="A538" i="55" l="1"/>
  <c r="B539" i="55"/>
  <c r="B540" i="55" l="1"/>
  <c r="A539" i="55"/>
  <c r="A540" i="55" l="1"/>
  <c r="B541" i="55"/>
  <c r="A541" i="55" l="1"/>
  <c r="B542" i="55"/>
  <c r="A542" i="55" l="1"/>
  <c r="B543" i="55"/>
  <c r="A543" i="55" l="1"/>
  <c r="B544" i="55"/>
  <c r="A544" i="55" l="1"/>
  <c r="B545" i="55"/>
  <c r="B546" i="55" l="1"/>
  <c r="A545" i="55"/>
  <c r="A546" i="55" l="1"/>
  <c r="B547" i="55"/>
  <c r="B548" i="55" l="1"/>
  <c r="A547" i="55"/>
  <c r="A548" i="55" l="1"/>
  <c r="B549" i="55"/>
  <c r="A549" i="55" l="1"/>
  <c r="B550" i="55"/>
  <c r="A550" i="55" l="1"/>
  <c r="B551" i="55"/>
  <c r="A551" i="55" l="1"/>
  <c r="B552" i="55"/>
  <c r="B553" i="55" l="1"/>
  <c r="A552" i="55"/>
  <c r="B554" i="55" l="1"/>
  <c r="A553" i="55"/>
  <c r="B555" i="55" l="1"/>
  <c r="A554" i="55"/>
  <c r="A555" i="55" l="1"/>
  <c r="B556" i="55"/>
  <c r="B557" i="55" l="1"/>
  <c r="A556" i="55"/>
  <c r="A557" i="55" l="1"/>
  <c r="B558" i="55"/>
  <c r="B559" i="55" l="1"/>
  <c r="A558" i="55"/>
  <c r="B560" i="55" l="1"/>
  <c r="A559" i="55"/>
  <c r="B561" i="55" l="1"/>
  <c r="A560" i="55"/>
  <c r="A561" i="55" l="1"/>
  <c r="B562" i="55"/>
  <c r="B563" i="55" l="1"/>
  <c r="A562" i="55"/>
  <c r="B564" i="55" l="1"/>
  <c r="A563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B572" i="55" l="1"/>
  <c r="A571" i="55"/>
  <c r="B573" i="55" l="1"/>
  <c r="A572" i="55"/>
  <c r="B574" i="55" l="1"/>
  <c r="A573" i="55"/>
  <c r="B575" i="55" l="1"/>
  <c r="A574" i="55"/>
  <c r="A575" i="55" l="1"/>
  <c r="B576" i="55"/>
  <c r="B577" i="55" l="1"/>
  <c r="A576" i="55"/>
  <c r="B578" i="55" l="1"/>
  <c r="A577" i="55"/>
  <c r="B579" i="55" l="1"/>
  <c r="A578" i="55"/>
  <c r="B580" i="55" l="1"/>
  <c r="A579" i="55"/>
  <c r="A580" i="55" l="1"/>
  <c r="B581" i="55"/>
  <c r="B582" i="55" l="1"/>
  <c r="A581" i="55"/>
  <c r="B583" i="55" l="1"/>
  <c r="A582" i="55"/>
  <c r="B584" i="55" l="1"/>
  <c r="A583" i="55"/>
  <c r="A584" i="55" l="1"/>
  <c r="B585" i="55"/>
  <c r="A585" i="55" l="1"/>
  <c r="B586" i="55"/>
  <c r="A586" i="55" s="1"/>
</calcChain>
</file>

<file path=xl/sharedStrings.xml><?xml version="1.0" encoding="utf-8"?>
<sst xmlns="http://schemas.openxmlformats.org/spreadsheetml/2006/main" count="23284" uniqueCount="1749">
  <si>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</si>
  <si>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</si>
  <si>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</si>
  <si>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</si>
  <si>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</si>
  <si>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</si>
  <si>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</si>
  <si>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</si>
  <si>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</si>
  <si>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</si>
  <si>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</si>
  <si>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</si>
  <si>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</si>
  <si>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</si>
  <si>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</si>
  <si>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</si>
  <si>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</si>
  <si>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</si>
  <si>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</si>
  <si>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</si>
  <si>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</si>
  <si>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</si>
  <si>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</si>
  <si>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</si>
  <si>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</si>
  <si>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</si>
  <si>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</si>
  <si>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</si>
  <si>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</si>
  <si>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</si>
  <si>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</si>
  <si>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</si>
  <si>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</si>
  <si>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</si>
  <si>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</si>
  <si>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</si>
  <si>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</si>
  <si>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</si>
  <si>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</si>
  <si>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</si>
  <si>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</si>
  <si>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</si>
  <si>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</si>
  <si>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</si>
  <si>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</si>
  <si>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</si>
  <si>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</si>
  <si>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</si>
  <si>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</si>
  <si>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</si>
  <si>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</si>
  <si>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</si>
  <si>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</si>
  <si>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</si>
  <si>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</si>
  <si>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</si>
  <si>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</si>
  <si>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</si>
  <si>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</si>
  <si>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</si>
  <si>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</si>
  <si>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</si>
  <si>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</si>
  <si>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</si>
  <si>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</si>
  <si>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</si>
  <si>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</si>
  <si>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</si>
  <si>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</si>
  <si>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</si>
  <si>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</si>
  <si>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</si>
  <si>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</si>
  <si>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</si>
  <si>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</si>
  <si>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</si>
  <si>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</si>
  <si>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</si>
  <si>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</si>
  <si>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</si>
  <si>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</si>
  <si>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</si>
  <si>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</si>
  <si>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</si>
  <si>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</si>
  <si>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</si>
  <si>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</si>
  <si>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</si>
  <si>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</si>
  <si>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</si>
  <si>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</si>
  <si>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</si>
  <si>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</si>
  <si>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</si>
  <si>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</si>
  <si>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</si>
  <si>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</si>
  <si>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</si>
  <si>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</si>
  <si>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</si>
  <si>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</si>
  <si>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</si>
  <si>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</si>
  <si>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</si>
  <si>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</si>
  <si>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</si>
  <si>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</si>
  <si>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</si>
  <si>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</si>
  <si>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</si>
  <si>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</si>
  <si>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</si>
  <si>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</si>
  <si>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</si>
  <si>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</si>
  <si>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</si>
  <si>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</si>
  <si>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</si>
  <si>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</si>
  <si>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</si>
  <si>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</si>
  <si>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</si>
  <si>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</si>
  <si>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</si>
  <si>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</si>
  <si>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</si>
  <si>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</si>
  <si>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</si>
  <si>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</si>
  <si>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</si>
  <si>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</si>
  <si>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</si>
  <si>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</si>
  <si>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</si>
  <si>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</si>
  <si>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</si>
  <si>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</si>
  <si>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</si>
  <si>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</si>
  <si>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</si>
  <si>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</si>
  <si>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</si>
  <si>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</si>
  <si>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</si>
  <si>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</si>
  <si>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</si>
  <si>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</si>
  <si>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</si>
  <si>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</si>
  <si>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</si>
  <si>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</si>
  <si>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</si>
  <si>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</si>
  <si>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</si>
  <si>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</si>
  <si>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</si>
  <si>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</si>
  <si>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</si>
  <si>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</si>
  <si>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</si>
  <si>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</si>
  <si>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</si>
  <si>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</si>
  <si>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</si>
  <si>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</si>
  <si>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</si>
  <si>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</si>
  <si>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</si>
  <si>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</si>
  <si>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</si>
  <si>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</si>
  <si>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</si>
  <si>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</si>
  <si>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</si>
  <si>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</si>
  <si>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</si>
  <si>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</si>
  <si>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</si>
  <si>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</si>
  <si>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</si>
  <si>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</si>
  <si>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</si>
  <si>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</si>
  <si>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</si>
  <si>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</si>
  <si>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</si>
  <si>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</si>
  <si>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</si>
  <si>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</si>
  <si>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</si>
  <si>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</si>
  <si>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</si>
  <si>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</si>
  <si>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</si>
  <si>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</si>
  <si>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</si>
  <si>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</si>
  <si>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</si>
  <si>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</si>
  <si>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</si>
  <si>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</si>
  <si>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</si>
  <si>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</si>
  <si>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</si>
  <si>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</si>
  <si>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</si>
  <si>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</si>
  <si>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</si>
  <si>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</si>
  <si>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</si>
  <si>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</si>
  <si>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</si>
  <si>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</si>
  <si>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</si>
  <si>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</si>
  <si>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</si>
  <si>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</si>
  <si>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</si>
  <si>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</si>
  <si>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</si>
  <si>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</si>
  <si>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</si>
  <si>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</si>
  <si>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</si>
  <si>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</si>
  <si>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</si>
  <si>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</si>
  <si>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</si>
  <si>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</si>
  <si>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</si>
  <si>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</si>
  <si>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</si>
  <si>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</si>
  <si>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</si>
  <si>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</si>
  <si>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</si>
  <si>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</si>
  <si>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</si>
  <si>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</si>
  <si>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</si>
  <si>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</si>
  <si>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</si>
  <si>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</si>
  <si>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</si>
  <si>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</si>
  <si>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</si>
  <si>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</si>
  <si>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</si>
  <si>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</si>
  <si>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</si>
  <si>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</si>
  <si>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</si>
  <si>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</si>
  <si>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</si>
  <si>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</si>
  <si>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</si>
  <si>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</si>
  <si>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</si>
  <si>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</si>
  <si>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</si>
  <si>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</si>
  <si>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</si>
  <si>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</si>
  <si>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</si>
  <si>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</si>
  <si>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</si>
  <si>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</si>
  <si>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</si>
  <si>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</si>
  <si>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</si>
  <si>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</si>
  <si>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</si>
  <si>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</si>
  <si>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</si>
  <si>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</si>
  <si>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</si>
  <si>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</si>
  <si>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</si>
  <si>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</si>
  <si>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</si>
  <si>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</si>
  <si>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</si>
  <si>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</si>
  <si>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</si>
  <si>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</si>
  <si>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</si>
  <si>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</si>
  <si>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</si>
  <si>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</si>
  <si>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</si>
  <si>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</si>
  <si>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</si>
  <si>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</si>
  <si>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</si>
  <si>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</si>
  <si>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</si>
  <si>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</si>
  <si>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</si>
  <si>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</si>
  <si>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</si>
  <si>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</si>
  <si>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</si>
  <si>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</si>
  <si>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</si>
  <si>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</si>
  <si>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</si>
  <si>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</si>
  <si>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</si>
  <si>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</si>
  <si>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</si>
  <si>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</si>
  <si>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</si>
  <si>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</si>
  <si>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</si>
  <si>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</si>
  <si>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</si>
  <si>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</si>
  <si>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</si>
  <si>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</si>
  <si>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</si>
  <si>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</si>
  <si>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</si>
  <si>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</si>
  <si>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</si>
  <si>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</si>
  <si>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</si>
  <si>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</si>
  <si>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</si>
  <si>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</si>
  <si>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</si>
  <si>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</si>
  <si>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</si>
  <si>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</si>
  <si>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</si>
  <si>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</si>
  <si>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</si>
  <si>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</si>
  <si>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</si>
  <si>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</si>
  <si>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</si>
  <si>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</si>
  <si>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</si>
  <si>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</si>
  <si>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</si>
  <si>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</si>
  <si>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</si>
  <si>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</si>
  <si>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</si>
  <si>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</si>
  <si>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</si>
  <si>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</si>
  <si>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</si>
  <si>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</si>
  <si>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</si>
  <si>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</si>
  <si>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</si>
  <si>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</si>
  <si>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</si>
  <si>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</si>
  <si>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</si>
  <si>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</si>
  <si>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</si>
  <si>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</si>
  <si>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</si>
  <si>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</si>
  <si>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</si>
  <si>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</si>
  <si>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</si>
  <si>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</si>
  <si>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</si>
  <si>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</si>
  <si>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</si>
  <si>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</si>
  <si>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</si>
  <si>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</si>
  <si>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</si>
  <si>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</si>
  <si>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</si>
  <si>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</si>
  <si>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</si>
  <si>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</si>
  <si>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</si>
  <si>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</si>
  <si>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</si>
  <si>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</si>
  <si>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</si>
  <si>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</si>
  <si>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</si>
  <si>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</si>
  <si>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</si>
  <si>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</si>
  <si>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</si>
  <si>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</si>
  <si>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</si>
  <si>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</si>
  <si>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</si>
  <si>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</si>
  <si>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</si>
  <si>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</si>
  <si>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</si>
  <si>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</si>
  <si>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</si>
  <si>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</si>
  <si>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</si>
  <si>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</si>
  <si>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</si>
  <si>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</si>
  <si>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</si>
  <si>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</si>
  <si>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</si>
  <si>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</si>
  <si>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</si>
  <si>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</si>
  <si>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</si>
  <si>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</si>
  <si>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</si>
  <si>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</si>
  <si>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</si>
  <si>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</si>
  <si>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</si>
  <si>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</si>
  <si>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</si>
  <si>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</si>
  <si>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</si>
  <si>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</si>
  <si>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</si>
  <si>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</si>
  <si>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</si>
  <si>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</si>
  <si>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</si>
  <si>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</si>
  <si>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</si>
  <si>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</si>
  <si>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</si>
  <si>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</si>
  <si>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</si>
  <si>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</si>
  <si>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</si>
  <si>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</si>
  <si>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</si>
  <si>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</si>
  <si>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</si>
  <si>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</si>
  <si>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</si>
  <si>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</si>
  <si>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</si>
  <si>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</si>
  <si>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</si>
  <si>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</si>
  <si>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</si>
  <si>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</si>
  <si>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</si>
  <si>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</si>
  <si>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</si>
  <si>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</si>
  <si>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</si>
  <si>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</si>
  <si>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</si>
  <si>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</si>
  <si>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</si>
  <si>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</si>
  <si>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</si>
  <si>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</si>
  <si>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</si>
  <si>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</si>
  <si>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</si>
  <si>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</si>
  <si>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</si>
  <si>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</si>
  <si>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</si>
  <si>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</si>
  <si>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</si>
  <si>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</si>
  <si>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</si>
  <si>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</si>
  <si>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</si>
  <si>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</si>
  <si>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</si>
  <si>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</si>
  <si>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</si>
  <si>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</si>
  <si>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</si>
  <si>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</si>
  <si>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</si>
  <si>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</si>
  <si>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</si>
  <si>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</si>
  <si>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</si>
  <si>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</si>
  <si>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</si>
  <si>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</si>
  <si>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</si>
  <si>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</si>
  <si>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</si>
  <si>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</si>
  <si>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</si>
  <si>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</si>
  <si>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</si>
  <si>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</si>
  <si>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</si>
  <si>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</si>
  <si>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</si>
  <si>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</si>
  <si>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</si>
  <si>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</si>
  <si>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</si>
  <si>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</si>
  <si>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</si>
  <si>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</si>
  <si>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</si>
  <si>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</si>
  <si>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</si>
  <si>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</si>
  <si>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</si>
  <si>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</si>
  <si>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</si>
  <si>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</si>
  <si>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</si>
  <si>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</si>
  <si>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</si>
  <si>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</si>
  <si>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</si>
  <si>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</si>
  <si>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</si>
  <si>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</si>
  <si>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</si>
  <si>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</si>
  <si>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</si>
  <si>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</si>
  <si>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</si>
  <si>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</si>
  <si>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</si>
  <si>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</si>
  <si>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</si>
  <si>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</si>
  <si>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</si>
  <si>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</si>
  <si>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</si>
  <si>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</si>
  <si>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</si>
  <si>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</si>
  <si>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</si>
  <si>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</si>
  <si>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</si>
  <si>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</si>
  <si>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</si>
  <si>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</si>
  <si>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</si>
  <si>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</si>
  <si>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</si>
  <si>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</si>
  <si>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</si>
  <si>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</si>
  <si>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</si>
  <si>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</si>
  <si>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</si>
  <si>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</si>
  <si>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</si>
  <si>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</si>
  <si>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</si>
  <si>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</si>
  <si>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</si>
  <si>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</si>
  <si>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</si>
  <si>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</si>
  <si>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</si>
  <si>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</si>
  <si>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</si>
  <si>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</si>
  <si>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</si>
  <si>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</si>
  <si>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</si>
  <si>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</si>
  <si>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</si>
  <si>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</si>
  <si>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</si>
  <si>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</si>
  <si>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</si>
  <si>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</si>
  <si>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</si>
  <si>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</si>
  <si>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</si>
  <si>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</si>
  <si>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</si>
  <si>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</si>
  <si>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</si>
  <si>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</si>
  <si>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</si>
  <si>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</si>
  <si>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</si>
  <si>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</si>
  <si>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</si>
  <si>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</si>
  <si>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</si>
  <si>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</si>
  <si>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</si>
  <si>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</si>
  <si>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</si>
  <si>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</si>
  <si>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</si>
  <si>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</si>
  <si>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</si>
  <si>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</si>
  <si>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</si>
  <si>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</si>
  <si>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</si>
  <si>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</si>
  <si>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</si>
  <si>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</si>
  <si>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</si>
  <si>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</si>
  <si>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</si>
  <si>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</si>
  <si>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</si>
  <si>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</si>
  <si>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</si>
  <si>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</si>
  <si>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</si>
  <si>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</si>
  <si>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</si>
  <si>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</si>
  <si>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</si>
  <si>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</si>
  <si>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</si>
  <si>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</si>
  <si>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</si>
  <si>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</si>
  <si>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</si>
  <si>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</si>
  <si>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</si>
  <si>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</si>
  <si>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</si>
  <si>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</si>
  <si>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</si>
  <si>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</si>
  <si>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</si>
  <si>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</si>
  <si>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</si>
  <si>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</si>
  <si>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</si>
  <si>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</si>
  <si>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</si>
  <si>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</si>
  <si>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</si>
  <si>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</si>
  <si>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</si>
  <si>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</si>
  <si>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</si>
  <si>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</si>
  <si>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</si>
  <si>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</si>
  <si>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</si>
  <si>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</si>
  <si>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</si>
  <si>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</si>
  <si>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</si>
  <si>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</si>
  <si>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</si>
  <si>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</si>
  <si>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</si>
  <si>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</si>
  <si>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</si>
  <si>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</si>
  <si>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</si>
  <si>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</si>
  <si>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</si>
  <si>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</si>
  <si>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</si>
  <si>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</si>
  <si>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</si>
  <si>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</si>
  <si>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</si>
  <si>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</si>
  <si>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</si>
  <si>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</si>
  <si>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</si>
  <si>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</si>
  <si>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</si>
  <si>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</si>
  <si>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</si>
  <si>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</si>
  <si>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</si>
  <si>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</si>
  <si>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</si>
  <si>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</si>
  <si>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</si>
  <si>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</si>
  <si>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</si>
  <si>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</si>
  <si>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</si>
  <si>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</si>
  <si>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</si>
  <si>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</si>
  <si>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</si>
  <si>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</si>
  <si>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</si>
  <si>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</si>
  <si>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</si>
  <si>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</si>
  <si>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</si>
  <si>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</si>
  <si>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</si>
  <si>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</si>
  <si>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</si>
  <si>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</si>
  <si>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</si>
  <si>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</si>
  <si>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</si>
  <si>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</si>
  <si>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</si>
  <si>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</si>
  <si>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</si>
  <si>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</si>
  <si>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</si>
  <si>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</si>
  <si>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</si>
  <si>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</si>
  <si>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</si>
  <si>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</si>
  <si>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</si>
  <si>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</si>
  <si>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</si>
  <si>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</si>
  <si>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</si>
  <si>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</si>
  <si>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</si>
  <si>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</si>
  <si>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</si>
  <si>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</si>
  <si>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</si>
  <si>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</si>
  <si>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</si>
  <si>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</si>
  <si>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</si>
  <si>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</si>
  <si>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</si>
  <si>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</si>
  <si>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</si>
  <si>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</si>
  <si>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</si>
  <si>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</si>
  <si>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</si>
  <si>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</si>
  <si>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</si>
  <si>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</si>
  <si>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</si>
  <si>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</si>
  <si>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</si>
  <si>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</si>
  <si>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</si>
  <si>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</si>
  <si>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</si>
  <si>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</si>
  <si>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</si>
  <si>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</si>
  <si>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</si>
  <si>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</si>
  <si>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</si>
  <si>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</si>
  <si>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</si>
  <si>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</si>
  <si>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</si>
  <si>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</si>
  <si>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</si>
  <si>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</si>
  <si>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</si>
  <si>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</si>
  <si>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</si>
  <si>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</si>
  <si>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</si>
  <si>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</si>
  <si>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</si>
  <si>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</si>
  <si>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</si>
  <si>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</si>
  <si>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</si>
  <si>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</si>
  <si>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</si>
  <si>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</si>
  <si>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</si>
  <si>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</si>
  <si>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</si>
  <si>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</si>
  <si>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</si>
  <si>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</si>
  <si>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</si>
  <si>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</si>
  <si>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</si>
  <si>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</si>
  <si>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</si>
  <si>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</si>
  <si>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</si>
  <si>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</si>
  <si>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</si>
  <si>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</si>
  <si>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</si>
  <si>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</si>
  <si>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</si>
  <si>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</si>
  <si>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</si>
  <si>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</si>
  <si>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</si>
  <si>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</si>
  <si>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</si>
  <si>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</si>
  <si>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</si>
  <si>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</si>
  <si>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</si>
  <si>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</si>
  <si>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</si>
  <si>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</si>
  <si>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</si>
  <si>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</si>
  <si>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</si>
  <si>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</si>
  <si>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</si>
  <si>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</si>
  <si>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</si>
  <si>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</si>
  <si>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</si>
  <si>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</si>
  <si>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</si>
  <si>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</si>
  <si>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</si>
  <si>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</si>
  <si>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</si>
  <si>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</si>
  <si>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</si>
  <si>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</si>
  <si>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</si>
  <si>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</si>
  <si>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</si>
  <si>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</si>
  <si>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</si>
  <si>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</si>
  <si>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</si>
  <si>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</si>
  <si>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</si>
  <si>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</si>
  <si>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</si>
  <si>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</si>
  <si>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</si>
  <si>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</si>
  <si>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</si>
  <si>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</si>
  <si>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</si>
  <si>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</si>
  <si>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</si>
  <si>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</si>
  <si>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</si>
  <si>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</si>
  <si>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</si>
  <si>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</si>
  <si>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</si>
  <si>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</si>
  <si>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</si>
  <si>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</si>
  <si>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</si>
  <si>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</si>
  <si>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</si>
  <si>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</si>
  <si>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</si>
  <si>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</si>
  <si>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</si>
  <si>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</si>
  <si>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</si>
  <si>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</si>
  <si>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</si>
  <si>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</si>
  <si>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</si>
  <si>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</si>
  <si>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</si>
  <si>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</si>
  <si>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</si>
  <si>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</si>
  <si>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</si>
  <si>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</si>
  <si>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</si>
  <si>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</si>
  <si>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</si>
  <si>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</si>
  <si>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</si>
  <si>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</si>
  <si>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</si>
  <si>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</si>
  <si>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</si>
  <si>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</si>
  <si>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</si>
  <si>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</si>
  <si>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</si>
  <si>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</si>
  <si>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</si>
  <si>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</si>
  <si>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</si>
  <si>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</si>
  <si>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</si>
  <si>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</si>
  <si>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</si>
  <si>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</si>
  <si>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</si>
  <si>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</si>
  <si>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</si>
  <si>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</si>
  <si>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</si>
  <si>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</si>
  <si>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</si>
  <si>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</si>
  <si>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</si>
  <si>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</si>
  <si>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</si>
  <si>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</si>
  <si>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</si>
  <si>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</si>
  <si>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</si>
  <si>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</si>
  <si>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</si>
  <si>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</si>
  <si>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</si>
  <si>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</si>
  <si>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</si>
  <si>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</si>
  <si>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</si>
  <si>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</si>
  <si>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</si>
  <si>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</si>
  <si>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</si>
  <si>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</si>
  <si>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</si>
  <si>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</si>
  <si>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</si>
  <si>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</si>
  <si>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</si>
  <si>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</si>
  <si>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</si>
  <si>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</si>
  <si>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</si>
  <si>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</si>
  <si>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</si>
  <si>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</si>
  <si>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</si>
  <si>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</si>
  <si>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</si>
  <si>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</si>
  <si>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</si>
  <si>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</si>
  <si>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</si>
  <si>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</si>
  <si>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</si>
  <si>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</si>
  <si>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</si>
  <si>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</si>
  <si>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</si>
  <si>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</si>
  <si>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</si>
  <si>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</si>
  <si>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</si>
  <si>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</si>
  <si>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</si>
  <si>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</si>
  <si>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</si>
  <si>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</si>
  <si>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</si>
  <si>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</si>
  <si>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</si>
  <si>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</si>
  <si>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</si>
  <si>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</si>
  <si>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</si>
  <si>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</si>
  <si>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</si>
  <si>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</si>
  <si>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</si>
  <si>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</si>
  <si>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</si>
  <si>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</si>
  <si>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</si>
  <si>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</si>
  <si>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</si>
  <si>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</si>
  <si>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</si>
  <si>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</si>
  <si>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</si>
  <si>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</si>
  <si>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</si>
  <si>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</si>
  <si>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</si>
  <si>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</si>
  <si>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</si>
  <si>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</si>
  <si>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</si>
  <si>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</si>
  <si>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</si>
  <si>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</si>
  <si>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</si>
  <si>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</si>
  <si>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</si>
  <si>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</si>
  <si>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</si>
  <si>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</si>
  <si>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</si>
  <si>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</si>
  <si>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</si>
  <si>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</si>
  <si>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</si>
  <si>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</si>
  <si>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</si>
  <si>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</si>
  <si>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</si>
  <si>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</si>
  <si>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</si>
  <si>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</si>
  <si>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</si>
  <si>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</si>
  <si>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</si>
  <si>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</si>
  <si>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</si>
  <si>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</si>
  <si>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</si>
  <si>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</si>
  <si>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</si>
  <si>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</si>
  <si>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</si>
  <si>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</si>
  <si>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</si>
  <si>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</si>
  <si>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</si>
  <si>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</si>
  <si>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</si>
  <si>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</si>
  <si>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</si>
  <si>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</si>
  <si>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</si>
  <si>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</si>
  <si>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</si>
  <si>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</si>
  <si>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</si>
  <si>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</si>
  <si>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</si>
  <si>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</si>
  <si>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</si>
  <si>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</si>
  <si>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</si>
  <si>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</si>
  <si>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</si>
  <si>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</si>
  <si>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</si>
  <si>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</si>
  <si>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</si>
  <si>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</si>
  <si>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</si>
  <si>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</si>
  <si>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</si>
  <si>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</si>
  <si>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</si>
  <si>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</si>
  <si>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</si>
  <si>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</si>
  <si>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</si>
  <si>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</si>
  <si>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</si>
  <si>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</si>
  <si>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</si>
  <si>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</si>
  <si>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</si>
  <si>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</si>
  <si>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</si>
  <si>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</si>
  <si>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</si>
  <si>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</si>
  <si>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</si>
  <si>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</si>
  <si>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</si>
  <si>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</si>
  <si>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</si>
  <si>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</si>
  <si>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</si>
  <si>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</si>
  <si>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</si>
  <si>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</si>
  <si>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</si>
  <si>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</si>
  <si>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</si>
  <si>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</si>
  <si>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</si>
  <si>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</si>
  <si>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</si>
  <si>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</si>
  <si>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</si>
  <si>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</si>
  <si>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</si>
  <si>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</si>
  <si>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</si>
  <si>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</si>
  <si>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</si>
  <si>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</si>
  <si>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</si>
  <si>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</si>
  <si>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</si>
  <si>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</si>
  <si>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</si>
  <si>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</si>
  <si>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</si>
  <si>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</si>
  <si>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</si>
  <si>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</si>
  <si>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</si>
  <si>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</si>
  <si>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</si>
  <si>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</si>
  <si>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</si>
  <si>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</si>
  <si>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</si>
  <si>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</si>
  <si>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</si>
  <si>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</si>
  <si>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</si>
  <si>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</si>
  <si>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</si>
  <si>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</si>
  <si>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</si>
  <si>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</si>
  <si>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</si>
  <si>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</si>
  <si>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</si>
  <si>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</si>
  <si>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</si>
  <si>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</si>
  <si>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</si>
  <si>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</si>
  <si>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</si>
  <si>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</si>
  <si>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</si>
  <si>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</si>
  <si>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</si>
  <si>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</si>
  <si>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</si>
  <si>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</si>
  <si>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</si>
  <si>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</si>
  <si>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</si>
  <si>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</si>
  <si>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</si>
  <si>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</si>
  <si>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</si>
  <si>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</si>
  <si>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</si>
  <si>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</si>
  <si>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</si>
  <si>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</si>
  <si>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</si>
  <si>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</si>
  <si>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</si>
  <si>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</si>
  <si>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</si>
  <si>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</si>
  <si>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</si>
  <si>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</si>
  <si>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</si>
  <si>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</si>
  <si>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</si>
  <si>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</si>
  <si>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</si>
  <si>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</si>
  <si>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</si>
  <si>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</si>
  <si>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</si>
  <si>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</si>
  <si>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</si>
  <si>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</si>
  <si>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</si>
  <si>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</si>
  <si>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</si>
  <si>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</si>
  <si>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</si>
  <si>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</si>
  <si>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</si>
  <si>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</si>
  <si>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</si>
  <si>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</si>
  <si>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</si>
  <si>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</si>
  <si>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</si>
  <si>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</si>
  <si>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</si>
  <si>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</si>
  <si>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</si>
  <si>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</si>
  <si>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</si>
  <si>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</si>
  <si>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</si>
  <si>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</si>
  <si>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</si>
  <si>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</si>
  <si>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</si>
  <si>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</si>
  <si>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</si>
  <si>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</si>
  <si>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</si>
  <si>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</si>
  <si>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</si>
  <si>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</si>
  <si>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</si>
  <si>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</si>
  <si>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</si>
  <si>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</si>
  <si>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</si>
  <si>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</si>
  <si>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</si>
  <si>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</si>
  <si>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</si>
  <si>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</si>
  <si>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</si>
  <si>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</si>
  <si>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</si>
  <si>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</si>
  <si>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</si>
  <si>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</si>
  <si>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</si>
  <si>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</si>
  <si>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</si>
  <si>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</si>
  <si>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</si>
  <si>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</si>
  <si>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</si>
  <si>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</si>
  <si>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</si>
  <si>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</si>
  <si>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</si>
  <si>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</si>
  <si>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</si>
  <si>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</si>
  <si>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</si>
  <si>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</si>
  <si>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</si>
  <si>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</si>
  <si>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</si>
  <si>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</si>
  <si>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</si>
  <si>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</si>
  <si>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</si>
  <si>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</si>
  <si>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</si>
  <si>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</si>
  <si>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</si>
  <si>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</si>
  <si>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</si>
  <si>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</si>
  <si>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</si>
  <si>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</si>
  <si>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</si>
  <si>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</si>
  <si>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</si>
  <si>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</si>
  <si>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</si>
  <si>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</si>
  <si>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</si>
  <si>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</si>
  <si>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</si>
  <si>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</si>
  <si>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</si>
  <si>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</si>
  <si>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</si>
  <si>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</si>
  <si>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</si>
  <si>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</si>
  <si>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</si>
  <si>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</si>
  <si>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</si>
  <si>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</si>
  <si>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</si>
  <si>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</si>
  <si>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</si>
  <si>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</si>
  <si>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</si>
  <si>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</si>
  <si>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</si>
  <si>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</si>
  <si>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</si>
  <si>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</si>
  <si>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</si>
  <si>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</si>
  <si>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</si>
  <si>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</si>
  <si>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</si>
  <si>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</si>
  <si>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</si>
  <si>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</si>
  <si>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</si>
  <si>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</si>
  <si>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</si>
  <si>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</si>
  <si>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</si>
  <si>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</si>
  <si>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</si>
  <si>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</si>
  <si>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</si>
  <si>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</si>
  <si>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</si>
  <si>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</si>
  <si>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</si>
  <si>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</si>
  <si>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</si>
  <si>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</si>
  <si>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</si>
  <si>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</si>
  <si>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</si>
  <si>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</si>
  <si>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</si>
  <si>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</si>
  <si>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</si>
  <si>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</si>
  <si>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</si>
  <si>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</si>
  <si>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</si>
  <si>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</si>
  <si>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</si>
  <si>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</si>
  <si>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</si>
  <si>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</si>
  <si>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</si>
  <si>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</si>
  <si>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</si>
  <si>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</si>
  <si>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</si>
  <si>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</si>
  <si>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</si>
  <si>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</si>
  <si>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</si>
  <si>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</si>
  <si>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</si>
  <si>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</si>
  <si>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</si>
  <si>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</si>
  <si>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</si>
  <si>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</si>
  <si>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</si>
  <si>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</si>
  <si>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</si>
  <si>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</si>
  <si>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</si>
  <si>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</si>
  <si>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</si>
  <si>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</si>
  <si>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</si>
  <si>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</si>
  <si>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</si>
  <si>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</si>
  <si>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</si>
  <si>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</si>
  <si>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</si>
  <si>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</si>
  <si>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</si>
  <si>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</si>
  <si>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</si>
  <si>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</si>
  <si>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</si>
  <si>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</si>
  <si>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</si>
  <si>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</si>
  <si>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</si>
  <si>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</si>
  <si>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</si>
  <si>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</si>
  <si>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</si>
  <si>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</si>
  <si>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</si>
  <si>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</si>
  <si>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</si>
  <si>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</si>
  <si>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</si>
  <si>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</si>
  <si>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</si>
  <si>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</si>
  <si>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</si>
  <si>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</si>
  <si>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</si>
  <si>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</si>
  <si>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</si>
  <si>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</si>
  <si>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</si>
  <si>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</si>
  <si>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</si>
  <si>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</si>
  <si>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</si>
  <si>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</si>
  <si>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</si>
  <si>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</si>
  <si>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</si>
  <si>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</si>
  <si>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</si>
  <si>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</si>
  <si>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</si>
  <si>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</si>
  <si>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</si>
  <si>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</si>
  <si>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</si>
  <si>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</si>
  <si>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</si>
  <si>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</si>
  <si>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</si>
  <si>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</si>
  <si>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</si>
  <si>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</si>
  <si>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</si>
  <si>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</si>
  <si>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</si>
  <si>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</si>
  <si>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</si>
  <si>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</si>
  <si>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</si>
  <si>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</si>
  <si>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</si>
  <si>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</si>
  <si>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</si>
  <si>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</si>
  <si>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</si>
  <si>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</si>
  <si>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</si>
  <si>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</si>
  <si>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</si>
  <si>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</si>
  <si>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</si>
  <si>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</si>
  <si>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</si>
  <si>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</si>
  <si>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</si>
  <si>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</si>
  <si>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</si>
  <si>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</si>
  <si>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</si>
  <si>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</si>
  <si>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</si>
  <si>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</si>
  <si>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</si>
  <si>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</si>
  <si>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</si>
  <si>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</si>
  <si>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</si>
  <si>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</si>
  <si>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</si>
  <si>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</si>
  <si>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</si>
  <si>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</si>
  <si>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</si>
  <si>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</si>
  <si>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</si>
  <si>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</si>
  <si>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</si>
  <si>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</si>
  <si>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</si>
  <si>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</si>
  <si>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</si>
  <si>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</si>
  <si>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</si>
  <si>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</si>
  <si>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</si>
  <si>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</si>
  <si>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</si>
  <si>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</si>
  <si>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</si>
  <si>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</si>
  <si>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</si>
  <si>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</si>
  <si>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</si>
  <si>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</si>
  <si>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</si>
  <si>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</si>
  <si>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</si>
  <si>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</si>
  <si>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</si>
  <si>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</si>
  <si>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</si>
  <si>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</si>
  <si>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</si>
  <si>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</si>
  <si>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</si>
  <si>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</si>
  <si>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</si>
  <si>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</si>
  <si>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</si>
  <si>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</si>
  <si>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</si>
  <si>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</si>
  <si>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</si>
  <si>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</si>
  <si>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</si>
  <si>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</si>
  <si>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</si>
  <si>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</si>
  <si>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</si>
  <si>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</si>
  <si>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</si>
  <si>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</si>
  <si>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</si>
  <si>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</si>
  <si>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</si>
  <si>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</si>
  <si>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</si>
  <si>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</si>
  <si>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</si>
  <si>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</si>
  <si>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</si>
  <si>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</si>
  <si>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</si>
  <si>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</si>
  <si>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</si>
  <si>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</si>
  <si>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</si>
  <si>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</si>
  <si>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</si>
  <si>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</si>
  <si>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</si>
  <si>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</si>
  <si>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</si>
  <si>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</si>
  <si>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</si>
  <si>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</si>
  <si>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</si>
  <si>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</si>
  <si>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</si>
  <si>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</si>
  <si>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</si>
  <si>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</si>
  <si>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</si>
  <si>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</si>
  <si>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</si>
  <si>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</si>
  <si>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</si>
  <si>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</si>
  <si>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</si>
  <si>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</si>
  <si>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</si>
  <si>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</si>
  <si>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</si>
  <si>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</si>
  <si>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</si>
  <si>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</si>
  <si>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</si>
  <si>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</si>
  <si>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</si>
  <si>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</si>
  <si>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</si>
  <si>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</si>
  <si>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</si>
  <si>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</si>
  <si>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</si>
  <si>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</si>
  <si>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</si>
  <si>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</si>
  <si>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</si>
  <si>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</si>
  <si>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</si>
  <si>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</si>
  <si>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</si>
  <si>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</si>
  <si>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</si>
  <si>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</si>
  <si>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</si>
  <si>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</si>
  <si>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</si>
  <si>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</si>
  <si>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</si>
  <si>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</si>
  <si>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</si>
  <si>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</si>
  <si>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</si>
  <si>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</si>
  <si>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</si>
  <si>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</si>
  <si>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</si>
  <si>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</si>
  <si>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</si>
  <si>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</si>
  <si>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</si>
  <si>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</si>
  <si>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</si>
  <si>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</si>
  <si>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</si>
  <si>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</si>
  <si>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</si>
  <si>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</si>
  <si>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</si>
  <si>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</si>
  <si>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</si>
  <si>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</si>
  <si>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</si>
  <si>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</si>
  <si>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</si>
  <si>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</si>
  <si>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</si>
  <si>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</si>
  <si>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</si>
  <si>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</si>
  <si>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</si>
  <si>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</si>
  <si>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</si>
  <si>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</si>
  <si>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</si>
  <si>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</si>
  <si>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</si>
  <si>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</si>
  <si>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</si>
  <si>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</si>
  <si>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</si>
  <si>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</si>
  <si>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</si>
  <si>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</si>
  <si>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</si>
  <si>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</si>
  <si>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</si>
  <si>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</si>
  <si>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</si>
  <si>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</si>
  <si>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</si>
  <si>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</si>
  <si>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</si>
  <si>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</si>
  <si>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</si>
  <si>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</si>
  <si>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</si>
  <si>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</si>
  <si>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</si>
  <si>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</si>
  <si>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</si>
  <si>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</si>
  <si>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</si>
  <si>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</si>
  <si>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</si>
  <si>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</si>
  <si>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</si>
  <si>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</si>
  <si>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</si>
  <si>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</si>
  <si>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</si>
  <si>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</si>
  <si>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</si>
  <si>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</si>
  <si>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</si>
  <si>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</si>
  <si>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</si>
  <si>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</si>
  <si>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</si>
  <si>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</si>
  <si>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</si>
  <si>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</si>
  <si>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</si>
  <si>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</si>
  <si>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</si>
  <si>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</si>
  <si>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</si>
  <si>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</si>
  <si>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</si>
  <si>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</si>
  <si>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</si>
  <si>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</si>
  <si>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</si>
  <si>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</si>
  <si>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</si>
  <si>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</si>
  <si>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C29</t>
  </si>
  <si>
    <t>T27</t>
  </si>
  <si>
    <t>C30</t>
  </si>
  <si>
    <t>T28</t>
  </si>
  <si>
    <t>C31</t>
  </si>
  <si>
    <t>C32</t>
  </si>
  <si>
    <t>C33</t>
  </si>
  <si>
    <t>T29</t>
  </si>
  <si>
    <t>C34</t>
  </si>
  <si>
    <t>C35</t>
  </si>
  <si>
    <t>T30</t>
  </si>
  <si>
    <t>T31</t>
  </si>
  <si>
    <t>T32</t>
  </si>
  <si>
    <t>C36</t>
  </si>
  <si>
    <t>C37</t>
  </si>
  <si>
    <t>C38</t>
  </si>
  <si>
    <t>C40</t>
  </si>
  <si>
    <t>C41</t>
  </si>
  <si>
    <t>C42</t>
  </si>
  <si>
    <t>T33</t>
  </si>
  <si>
    <t>C43</t>
  </si>
  <si>
    <t>T34</t>
  </si>
  <si>
    <t>C44</t>
  </si>
  <si>
    <t>C45</t>
  </si>
  <si>
    <t>C49</t>
  </si>
  <si>
    <t>C46</t>
  </si>
  <si>
    <t>C47</t>
  </si>
  <si>
    <t>C48</t>
  </si>
  <si>
    <t>C50</t>
  </si>
  <si>
    <t>C39</t>
  </si>
  <si>
    <t>T35</t>
  </si>
  <si>
    <t>C51</t>
  </si>
  <si>
    <t>C52</t>
  </si>
  <si>
    <t>T36</t>
  </si>
  <si>
    <t>T37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</si>
  <si>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</si>
  <si>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</si>
  <si>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</si>
  <si>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</si>
  <si>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</si>
  <si>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</si>
  <si>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</si>
  <si>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</si>
  <si>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</si>
  <si>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</si>
  <si>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</si>
  <si>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</si>
  <si>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</si>
  <si>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</si>
  <si>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</si>
  <si>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</si>
  <si>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</si>
  <si>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</si>
  <si>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</si>
  <si>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</si>
  <si>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</si>
  <si>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</si>
  <si>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</si>
  <si>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</si>
  <si>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</si>
  <si>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</si>
  <si>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</si>
  <si>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</si>
  <si>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</si>
  <si>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</si>
  <si>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</si>
  <si>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</si>
  <si>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</si>
  <si>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</si>
  <si>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</si>
  <si>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</si>
  <si>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</si>
  <si>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</si>
  <si>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</si>
  <si>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</si>
  <si>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</si>
  <si>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</si>
  <si>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</si>
  <si>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</si>
  <si>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</si>
  <si>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</si>
  <si>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</si>
  <si>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</si>
  <si>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</si>
  <si>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</si>
  <si>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XTP</t>
  </si>
  <si>
    <t>Cty CP Nam Đô</t>
  </si>
  <si>
    <t>Quý I</t>
  </si>
  <si>
    <t>Thuế GTGT phải nộp T2/2012</t>
  </si>
  <si>
    <t>Thuế GTGT phải nộp T3/2012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</si>
</sst>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8" fillId="0" borderId="0" xfId="93" applyFont="1" applyAlignment="1">
      <alignment vertical="center"/>
    </xf>
    <xf numFmtId="0" fontId="80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89" fillId="0" borderId="0" xfId="85" applyFont="1" applyAlignment="1">
      <alignment vertical="center"/>
    </xf>
    <xf numFmtId="0" fontId="89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164" fontId="91" fillId="0" borderId="0" xfId="77" applyNumberFormat="1" applyFont="1" applyAlignment="1">
      <alignment vertical="center"/>
    </xf>
    <xf numFmtId="164" fontId="92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Alignment="1" applyProtection="1">
      <alignment vertical="center"/>
      <protection hidden="1"/>
    </xf>
    <xf numFmtId="0" fontId="93" fillId="0" borderId="0" xfId="80" applyFont="1" applyAlignment="1" applyProtection="1">
      <alignment horizontal="center" vertical="center"/>
      <protection hidden="1"/>
    </xf>
    <xf numFmtId="0" fontId="94" fillId="0" borderId="0" xfId="77" applyFont="1" applyFill="1" applyBorder="1" applyAlignment="1" applyProtection="1">
      <alignment horizontal="left" vertical="center"/>
      <protection hidden="1"/>
    </xf>
    <xf numFmtId="0" fontId="94" fillId="0" borderId="0" xfId="80" applyFont="1" applyFill="1" applyBorder="1" applyAlignment="1" applyProtection="1">
      <alignment vertical="center"/>
      <protection hidden="1"/>
    </xf>
    <xf numFmtId="164" fontId="95" fillId="0" borderId="0" xfId="77" applyNumberFormat="1" applyFont="1" applyBorder="1" applyAlignment="1" applyProtection="1">
      <alignment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4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6" fillId="0" borderId="0" xfId="0" applyFont="1" applyFill="1"/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9" fillId="0" borderId="16" xfId="0" quotePrefix="1" applyNumberFormat="1" applyFont="1" applyFill="1" applyBorder="1" applyAlignment="1">
      <alignment horizontal="lef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100" fillId="0" borderId="16" xfId="54" applyNumberFormat="1" applyFont="1" applyFill="1" applyBorder="1" applyAlignment="1">
      <alignment horizontal="center" vertical="center"/>
    </xf>
    <xf numFmtId="164" fontId="77" fillId="0" borderId="16" xfId="0" quotePrefix="1" applyNumberFormat="1" applyFont="1" applyFill="1" applyBorder="1" applyAlignment="1">
      <alignment horizontal="left" vertical="center"/>
    </xf>
    <xf numFmtId="0" fontId="101" fillId="0" borderId="16" xfId="77" applyNumberFormat="1" applyFont="1" applyFill="1" applyBorder="1" applyAlignment="1">
      <alignment horizontal="center" vertical="center"/>
    </xf>
    <xf numFmtId="14" fontId="101" fillId="0" borderId="16" xfId="90" applyNumberFormat="1" applyFont="1" applyFill="1" applyBorder="1" applyAlignment="1">
      <alignment horizontal="center" vertical="center"/>
    </xf>
    <xf numFmtId="164" fontId="101" fillId="0" borderId="16" xfId="90" applyNumberFormat="1" applyFont="1" applyFill="1" applyBorder="1" applyAlignment="1">
      <alignment horizontal="left" vertical="center"/>
    </xf>
    <xf numFmtId="164" fontId="101" fillId="0" borderId="16" xfId="90" quotePrefix="1" applyNumberFormat="1" applyFont="1" applyFill="1" applyBorder="1" applyAlignment="1">
      <alignment horizontal="left" vertical="center"/>
    </xf>
    <xf numFmtId="49" fontId="101" fillId="0" borderId="16" xfId="90" applyNumberFormat="1" applyFont="1" applyFill="1" applyBorder="1" applyAlignment="1">
      <alignment horizontal="left" vertical="center"/>
    </xf>
    <xf numFmtId="164" fontId="101" fillId="0" borderId="16" xfId="29" applyNumberFormat="1" applyFont="1" applyFill="1" applyBorder="1" applyAlignment="1">
      <alignment horizontal="left" vertical="center"/>
    </xf>
    <xf numFmtId="164" fontId="101" fillId="0" borderId="16" xfId="77" applyNumberFormat="1" applyFont="1" applyFill="1" applyBorder="1" applyAlignment="1">
      <alignment vertical="center"/>
    </xf>
    <xf numFmtId="0" fontId="101" fillId="0" borderId="16" xfId="90" quotePrefix="1" applyNumberFormat="1" applyFont="1" applyFill="1" applyBorder="1" applyAlignment="1">
      <alignment horizontal="center" vertical="center"/>
    </xf>
    <xf numFmtId="1" fontId="101" fillId="0" borderId="16" xfId="54" quotePrefix="1" applyNumberFormat="1" applyFont="1" applyFill="1" applyBorder="1" applyAlignment="1">
      <alignment horizontal="center" vertical="center"/>
    </xf>
    <xf numFmtId="0" fontId="102" fillId="0" borderId="0" xfId="0" applyFont="1" applyFill="1"/>
    <xf numFmtId="3" fontId="101" fillId="0" borderId="16" xfId="46" applyFont="1" applyFill="1" applyBorder="1" applyAlignment="1">
      <alignment vertical="center"/>
    </xf>
    <xf numFmtId="164" fontId="101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101" fillId="0" borderId="16" xfId="54" quotePrefix="1" applyNumberFormat="1" applyFont="1" applyFill="1" applyBorder="1" applyAlignment="1">
      <alignment horizontal="left"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101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101" fillId="0" borderId="16" xfId="0" applyFont="1" applyFill="1" applyBorder="1" applyAlignment="1">
      <alignment horizontal="center"/>
    </xf>
    <xf numFmtId="14" fontId="101" fillId="0" borderId="16" xfId="76" applyNumberFormat="1" applyFont="1" applyFill="1" applyBorder="1" applyAlignment="1">
      <alignment horizontal="center" vertical="center"/>
    </xf>
    <xf numFmtId="0" fontId="101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101" fillId="0" borderId="16" xfId="46" applyFont="1" applyBorder="1" applyAlignment="1">
      <alignment vertical="center"/>
    </xf>
    <xf numFmtId="0" fontId="101" fillId="0" borderId="16" xfId="0" applyFont="1" applyBorder="1" applyAlignment="1">
      <alignment vertical="center"/>
    </xf>
    <xf numFmtId="164" fontId="101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101" fillId="0" borderId="21" xfId="29" applyNumberFormat="1" applyFont="1" applyBorder="1" applyAlignment="1">
      <alignment horizontal="center" vertical="center"/>
    </xf>
    <xf numFmtId="164" fontId="101" fillId="0" borderId="16" xfId="54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K59"/>
  <sheetViews>
    <sheetView tabSelected="1" topLeftCell="A6" workbookViewId="0">
      <pane ySplit="4" topLeftCell="A40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7.42578125" style="667" customWidth="1"/>
    <col min="2" max="2" width="43" style="667" customWidth="1"/>
    <col min="3" max="3" width="14.5703125" style="162" customWidth="1"/>
    <col min="4" max="4" width="14.28515625" style="162" customWidth="1"/>
    <col min="5" max="5" width="15.140625" style="667" customWidth="1"/>
    <col min="6" max="6" width="17.28515625" style="667" customWidth="1"/>
    <col min="7" max="7" width="13.85546875" style="667" customWidth="1"/>
    <col min="8" max="8" width="14.7109375" style="667" customWidth="1"/>
    <col min="9" max="9" width="2.42578125" style="667" customWidth="1"/>
    <col min="10" max="10" width="8" style="667"/>
    <col min="11" max="11" width="10.7109375" style="667" customWidth="1"/>
    <col min="12" max="16384" width="8" style="667"/>
  </cols>
  <sheetData>
    <row r="1" spans="1:8">
      <c r="A1" s="666"/>
      <c r="B1" s="666"/>
    </row>
    <row r="2" spans="1:8">
      <c r="A2" s="666" t="str">
        <f>TH!A1</f>
        <v>Đơn vị: CÔNG TY TNHH SX TM KIM DUNG PHÁT</v>
      </c>
      <c r="B2" s="666"/>
    </row>
    <row r="3" spans="1:8">
      <c r="A3" s="667" t="str">
        <f>TH!A2</f>
        <v>Địa chỉ: 1A227/1 Ấp 1, Phạm Văn Hai, Bình Chánh, TPHCM</v>
      </c>
      <c r="B3" s="666"/>
    </row>
    <row r="5" spans="1:8" ht="36" customHeight="1">
      <c r="A5" s="668"/>
      <c r="B5" s="668"/>
      <c r="C5" s="669"/>
      <c r="D5" s="670" t="s">
        <v>395</v>
      </c>
      <c r="E5" s="668"/>
      <c r="F5" s="668"/>
      <c r="G5" s="668"/>
      <c r="H5" s="668"/>
    </row>
    <row r="6" spans="1:8" ht="15.75">
      <c r="A6" s="668"/>
      <c r="B6" s="668"/>
      <c r="C6" s="669"/>
      <c r="D6" s="690" t="s">
        <v>1580</v>
      </c>
      <c r="E6" s="668"/>
      <c r="F6" s="668"/>
      <c r="G6" s="668"/>
      <c r="H6" s="668"/>
    </row>
    <row r="7" spans="1:8" ht="6.75" customHeight="1"/>
    <row r="8" spans="1:8" ht="24.75" customHeight="1">
      <c r="A8" s="929" t="s">
        <v>393</v>
      </c>
      <c r="B8" s="929" t="s">
        <v>392</v>
      </c>
      <c r="C8" s="925" t="s">
        <v>37</v>
      </c>
      <c r="D8" s="926"/>
      <c r="E8" s="925" t="s">
        <v>38</v>
      </c>
      <c r="F8" s="926"/>
      <c r="G8" s="925" t="s">
        <v>394</v>
      </c>
      <c r="H8" s="926"/>
    </row>
    <row r="9" spans="1:8" ht="24.75" customHeight="1">
      <c r="A9" s="930"/>
      <c r="B9" s="930"/>
      <c r="C9" s="665" t="s">
        <v>42</v>
      </c>
      <c r="D9" s="665" t="s">
        <v>43</v>
      </c>
      <c r="E9" s="665" t="s">
        <v>42</v>
      </c>
      <c r="F9" s="665" t="s">
        <v>43</v>
      </c>
      <c r="G9" s="665" t="s">
        <v>42</v>
      </c>
      <c r="H9" s="665" t="s">
        <v>43</v>
      </c>
    </row>
    <row r="10" spans="1:8" s="162" customFormat="1" ht="17.25" customHeight="1">
      <c r="A10" s="671" t="s">
        <v>48</v>
      </c>
      <c r="B10" s="672" t="s">
        <v>49</v>
      </c>
      <c r="C10" s="673">
        <v>1611419622</v>
      </c>
      <c r="D10" s="673">
        <v>0</v>
      </c>
      <c r="E10" s="673">
        <f t="array" ref="E10">SUM(IF(A10=KHN,TH))</f>
        <v>1325186641</v>
      </c>
      <c r="F10" s="673">
        <f t="array" ref="F10">SUM(IF(A10=KHC,TH))</f>
        <v>1937581906</v>
      </c>
      <c r="G10" s="674">
        <f>MAX(C10+E10-D10-F10,0)</f>
        <v>999024357</v>
      </c>
      <c r="H10" s="674">
        <f>MAX(D10+F10-E10-C10,0)</f>
        <v>0</v>
      </c>
    </row>
    <row r="11" spans="1:8" s="162" customFormat="1" ht="17.25" customHeight="1">
      <c r="A11" s="675" t="s">
        <v>16</v>
      </c>
      <c r="B11" s="675" t="s">
        <v>50</v>
      </c>
      <c r="C11" s="676">
        <f>C10</f>
        <v>1611419622</v>
      </c>
      <c r="D11" s="676">
        <v>0</v>
      </c>
      <c r="E11" s="676">
        <f t="shared" ref="E11:H11" si="0">E10</f>
        <v>1325186641</v>
      </c>
      <c r="F11" s="676">
        <f t="shared" si="0"/>
        <v>1937581906</v>
      </c>
      <c r="G11" s="676">
        <f t="shared" si="0"/>
        <v>999024357</v>
      </c>
      <c r="H11" s="676">
        <f t="shared" si="0"/>
        <v>0</v>
      </c>
    </row>
    <row r="12" spans="1:8" s="162" customFormat="1" ht="17.25" customHeight="1">
      <c r="A12" s="672" t="s">
        <v>24</v>
      </c>
      <c r="B12" s="672" t="s">
        <v>51</v>
      </c>
      <c r="C12" s="673">
        <v>20452439</v>
      </c>
      <c r="D12" s="673">
        <v>0</v>
      </c>
      <c r="E12" s="673">
        <f t="array" ref="E12">SUM(IF(A12=KHN,TH))</f>
        <v>2399086856</v>
      </c>
      <c r="F12" s="673">
        <f t="array" ref="F12">SUM(IF(A12=KHC,TH))</f>
        <v>2419204362</v>
      </c>
      <c r="G12" s="674">
        <f>MAX(C12+E12-D12-F12,0)</f>
        <v>334933</v>
      </c>
      <c r="H12" s="674">
        <f>MAX(D12+F12-E12-C12,0)</f>
        <v>0</v>
      </c>
    </row>
    <row r="13" spans="1:8" s="162" customFormat="1" ht="17.25" customHeight="1">
      <c r="A13" s="675" t="s">
        <v>52</v>
      </c>
      <c r="B13" s="675" t="s">
        <v>53</v>
      </c>
      <c r="C13" s="676">
        <v>20452439</v>
      </c>
      <c r="D13" s="676">
        <v>0</v>
      </c>
      <c r="E13" s="676">
        <f t="shared" ref="E13:H13" si="1">E12</f>
        <v>2399086856</v>
      </c>
      <c r="F13" s="676">
        <f t="shared" si="1"/>
        <v>2419204362</v>
      </c>
      <c r="G13" s="676">
        <f t="shared" si="1"/>
        <v>334933</v>
      </c>
      <c r="H13" s="676">
        <f t="shared" si="1"/>
        <v>0</v>
      </c>
    </row>
    <row r="14" spans="1:8" s="162" customFormat="1" ht="17.25" customHeight="1">
      <c r="A14" s="675" t="s">
        <v>284</v>
      </c>
      <c r="B14" s="675" t="s">
        <v>294</v>
      </c>
      <c r="C14" s="676">
        <v>191482969</v>
      </c>
      <c r="D14" s="676">
        <v>0</v>
      </c>
      <c r="E14" s="677">
        <f t="array" ref="E14">SUM(IF(A14=KHN,TH))</f>
        <v>2258454557</v>
      </c>
      <c r="F14" s="677">
        <f t="array" ref="F14">SUM(IF(A14=KHC,TH))</f>
        <v>2421612069</v>
      </c>
      <c r="G14" s="676">
        <f>MAX(C14+E14-D14-F14,0)</f>
        <v>28325457</v>
      </c>
      <c r="H14" s="676">
        <f>MAX(D14+F14-E14-C14,0)</f>
        <v>0</v>
      </c>
    </row>
    <row r="15" spans="1:8" s="162" customFormat="1" ht="17.25" customHeight="1">
      <c r="A15" s="672" t="s">
        <v>9</v>
      </c>
      <c r="B15" s="672" t="s">
        <v>54</v>
      </c>
      <c r="C15" s="673">
        <v>7114977</v>
      </c>
      <c r="D15" s="673">
        <v>0</v>
      </c>
      <c r="E15" s="673">
        <f t="array" ref="E15">SUM(IF(A15=KHN,TH))</f>
        <v>265641197</v>
      </c>
      <c r="F15" s="673">
        <f t="array" ref="F15">SUM(IF(A15=KHC,TH))</f>
        <v>204654553</v>
      </c>
      <c r="G15" s="674">
        <f>MAX(C15+E15-D15-F15,0)</f>
        <v>68101621</v>
      </c>
      <c r="H15" s="674">
        <f>MAX(D15+F15-E15-C15,0)</f>
        <v>0</v>
      </c>
    </row>
    <row r="16" spans="1:8" s="162" customFormat="1" ht="17.25" customHeight="1">
      <c r="A16" s="675" t="s">
        <v>55</v>
      </c>
      <c r="B16" s="675" t="s">
        <v>56</v>
      </c>
      <c r="C16" s="676">
        <v>7114977</v>
      </c>
      <c r="D16" s="676">
        <v>0</v>
      </c>
      <c r="E16" s="676">
        <f t="shared" ref="E16:H16" si="2">E15</f>
        <v>265641197</v>
      </c>
      <c r="F16" s="676">
        <f t="shared" si="2"/>
        <v>204654553</v>
      </c>
      <c r="G16" s="676">
        <f t="shared" si="2"/>
        <v>68101621</v>
      </c>
      <c r="H16" s="676">
        <f t="shared" si="2"/>
        <v>0</v>
      </c>
    </row>
    <row r="17" spans="1:8" s="162" customFormat="1" ht="17.25" customHeight="1">
      <c r="A17" s="672" t="s">
        <v>57</v>
      </c>
      <c r="B17" s="672" t="s">
        <v>58</v>
      </c>
      <c r="C17" s="673">
        <v>0</v>
      </c>
      <c r="D17" s="673">
        <v>0</v>
      </c>
      <c r="E17" s="673">
        <f t="array" ref="E17">SUM(IF(A17=KHN,TH))</f>
        <v>100000000</v>
      </c>
      <c r="F17" s="673">
        <f t="array" ref="F17">SUM(IF(A17=KHC,TH))</f>
        <v>100000000</v>
      </c>
      <c r="G17" s="674">
        <f t="shared" ref="G17:G32" si="3">MAX(C17+E17-D17-F17,0)</f>
        <v>0</v>
      </c>
      <c r="H17" s="674">
        <f t="shared" ref="H17:H32" si="4">MAX(D17+F17-E17-C17,0)</f>
        <v>0</v>
      </c>
    </row>
    <row r="18" spans="1:8" s="162" customFormat="1" ht="17.25" customHeight="1">
      <c r="A18" s="675" t="s">
        <v>59</v>
      </c>
      <c r="B18" s="675" t="s">
        <v>60</v>
      </c>
      <c r="C18" s="676">
        <v>0</v>
      </c>
      <c r="D18" s="676">
        <v>0</v>
      </c>
      <c r="E18" s="676">
        <f>E17</f>
        <v>100000000</v>
      </c>
      <c r="F18" s="676">
        <f>F17</f>
        <v>100000000</v>
      </c>
      <c r="G18" s="676">
        <f t="shared" si="3"/>
        <v>0</v>
      </c>
      <c r="H18" s="676">
        <f t="shared" si="4"/>
        <v>0</v>
      </c>
    </row>
    <row r="19" spans="1:8" s="162" customFormat="1" ht="17.25" customHeight="1">
      <c r="A19" s="681" t="s">
        <v>501</v>
      </c>
      <c r="B19" s="675" t="s">
        <v>502</v>
      </c>
      <c r="C19" s="676">
        <v>4566819</v>
      </c>
      <c r="D19" s="676">
        <v>0</v>
      </c>
      <c r="E19" s="677">
        <f t="array" ref="E19">SUM(IF(A19=KHN,TH))</f>
        <v>0</v>
      </c>
      <c r="F19" s="677">
        <f t="array" ref="F19">SUM(IF(A19=KHC,TH))</f>
        <v>4566819</v>
      </c>
      <c r="G19" s="676">
        <f t="shared" si="3"/>
        <v>0</v>
      </c>
      <c r="H19" s="676">
        <f t="shared" si="4"/>
        <v>0</v>
      </c>
    </row>
    <row r="20" spans="1:8" s="162" customFormat="1" ht="17.25" customHeight="1">
      <c r="A20" s="672" t="s">
        <v>169</v>
      </c>
      <c r="B20" s="672" t="s">
        <v>170</v>
      </c>
      <c r="C20" s="673">
        <v>1393238</v>
      </c>
      <c r="D20" s="673">
        <v>0</v>
      </c>
      <c r="E20" s="673">
        <f t="array" ref="E20">SUM(IF(A20=KHN,TH))</f>
        <v>2365932044</v>
      </c>
      <c r="F20" s="673">
        <f t="array" ref="F20">SUM(IF(A20=KHC,TH))</f>
        <v>1439288694</v>
      </c>
      <c r="G20" s="674">
        <f t="shared" si="3"/>
        <v>928036588</v>
      </c>
      <c r="H20" s="674">
        <f t="shared" si="4"/>
        <v>0</v>
      </c>
    </row>
    <row r="21" spans="1:8" s="162" customFormat="1" ht="17.25" customHeight="1">
      <c r="A21" s="672" t="s">
        <v>171</v>
      </c>
      <c r="B21" s="672" t="s">
        <v>172</v>
      </c>
      <c r="C21" s="673">
        <v>1250000</v>
      </c>
      <c r="D21" s="673">
        <v>0</v>
      </c>
      <c r="E21" s="673">
        <f t="array" ref="E21">SUM(IF(A21=KHN,TH))</f>
        <v>44094250</v>
      </c>
      <c r="F21" s="673">
        <f t="array" ref="F21">SUM(IF(A21=KHC,TH))</f>
        <v>43086250</v>
      </c>
      <c r="G21" s="673">
        <f t="shared" si="3"/>
        <v>2258000</v>
      </c>
      <c r="H21" s="673">
        <f t="shared" si="4"/>
        <v>0</v>
      </c>
    </row>
    <row r="22" spans="1:8" s="162" customFormat="1" ht="17.25" customHeight="1">
      <c r="A22" s="675" t="s">
        <v>173</v>
      </c>
      <c r="B22" s="675" t="s">
        <v>174</v>
      </c>
      <c r="C22" s="676">
        <f>C20+C21</f>
        <v>2643238</v>
      </c>
      <c r="D22" s="676">
        <v>0</v>
      </c>
      <c r="E22" s="676">
        <f>E20+E21</f>
        <v>2410026294</v>
      </c>
      <c r="F22" s="676">
        <f>F20+F21</f>
        <v>1482374944</v>
      </c>
      <c r="G22" s="676">
        <f t="shared" si="3"/>
        <v>930294588</v>
      </c>
      <c r="H22" s="676">
        <f t="shared" si="4"/>
        <v>0</v>
      </c>
    </row>
    <row r="23" spans="1:8" s="162" customFormat="1" ht="17.25" customHeight="1">
      <c r="A23" s="675" t="s">
        <v>175</v>
      </c>
      <c r="B23" s="675" t="s">
        <v>176</v>
      </c>
      <c r="C23" s="676">
        <v>0</v>
      </c>
      <c r="D23" s="676">
        <v>0</v>
      </c>
      <c r="E23" s="677">
        <f t="array" ref="E23">SUM(IF(A23=KHN,TH))</f>
        <v>1787869813</v>
      </c>
      <c r="F23" s="677">
        <f t="array" ref="F23">SUM(IF(A23=KHC,TH))</f>
        <v>1787869813</v>
      </c>
      <c r="G23" s="676">
        <f t="shared" si="3"/>
        <v>0</v>
      </c>
      <c r="H23" s="676">
        <f t="shared" si="4"/>
        <v>0</v>
      </c>
    </row>
    <row r="24" spans="1:8" s="162" customFormat="1" ht="17.25" customHeight="1">
      <c r="A24" s="675" t="s">
        <v>177</v>
      </c>
      <c r="B24" s="675" t="s">
        <v>178</v>
      </c>
      <c r="C24" s="676">
        <v>0</v>
      </c>
      <c r="D24" s="676">
        <v>0</v>
      </c>
      <c r="E24" s="677">
        <f t="array" ref="E24">SUM(IF(A24=KHN,TH))</f>
        <v>1893125133</v>
      </c>
      <c r="F24" s="677">
        <f t="array" ref="F24">SUM(IF(A24=KHC,TH))</f>
        <v>1893125133</v>
      </c>
      <c r="G24" s="676">
        <f t="shared" si="3"/>
        <v>0</v>
      </c>
      <c r="H24" s="676">
        <f t="shared" si="4"/>
        <v>0</v>
      </c>
    </row>
    <row r="25" spans="1:8" s="162" customFormat="1" ht="17.25" customHeight="1">
      <c r="A25" s="678" t="s">
        <v>179</v>
      </c>
      <c r="B25" s="679" t="s">
        <v>180</v>
      </c>
      <c r="C25" s="680">
        <v>365000000</v>
      </c>
      <c r="D25" s="680">
        <v>0</v>
      </c>
      <c r="E25" s="673">
        <f t="array" ref="E25">SUM(IF(A25=KHN,TH))</f>
        <v>0</v>
      </c>
      <c r="F25" s="673">
        <f t="array" ref="F25">SUM(IF(A25=KHC,TH))</f>
        <v>0</v>
      </c>
      <c r="G25" s="680">
        <f t="shared" si="3"/>
        <v>365000000</v>
      </c>
      <c r="H25" s="680">
        <f t="shared" si="4"/>
        <v>0</v>
      </c>
    </row>
    <row r="26" spans="1:8" s="162" customFormat="1" ht="17.25" customHeight="1">
      <c r="A26" s="675" t="s">
        <v>181</v>
      </c>
      <c r="B26" s="675" t="s">
        <v>182</v>
      </c>
      <c r="C26" s="676">
        <v>365000000</v>
      </c>
      <c r="D26" s="676">
        <v>0</v>
      </c>
      <c r="E26" s="676">
        <f>SUM(E25:E25)</f>
        <v>0</v>
      </c>
      <c r="F26" s="676">
        <f>SUM(F25:F25)</f>
        <v>0</v>
      </c>
      <c r="G26" s="676">
        <f>SUM(G25:G25)</f>
        <v>365000000</v>
      </c>
      <c r="H26" s="676">
        <f>SUM(H25:H25)</f>
        <v>0</v>
      </c>
    </row>
    <row r="27" spans="1:8" s="162" customFormat="1" ht="17.25" customHeight="1">
      <c r="A27" s="672" t="s">
        <v>285</v>
      </c>
      <c r="B27" s="672" t="s">
        <v>291</v>
      </c>
      <c r="C27" s="673">
        <v>0</v>
      </c>
      <c r="D27" s="673">
        <v>37250000</v>
      </c>
      <c r="E27" s="673">
        <f t="array" ref="E27">SUM(IF(A27=KHN,TH))</f>
        <v>0</v>
      </c>
      <c r="F27" s="673">
        <f t="array" ref="F27">SUM(IF(A27=KHC,TH))</f>
        <v>73000000</v>
      </c>
      <c r="G27" s="673">
        <f>MAX(C27+E27-D27-F27,0)</f>
        <v>0</v>
      </c>
      <c r="H27" s="673">
        <f>MAX(D27+F27-E27-C27,0)</f>
        <v>110250000</v>
      </c>
    </row>
    <row r="28" spans="1:8" s="162" customFormat="1" ht="17.25" customHeight="1">
      <c r="A28" s="675" t="s">
        <v>292</v>
      </c>
      <c r="B28" s="675" t="s">
        <v>293</v>
      </c>
      <c r="C28" s="676">
        <f>C27</f>
        <v>0</v>
      </c>
      <c r="D28" s="676">
        <f t="shared" ref="D28:H28" si="5">D27</f>
        <v>37250000</v>
      </c>
      <c r="E28" s="676">
        <f t="shared" si="5"/>
        <v>0</v>
      </c>
      <c r="F28" s="676">
        <f t="shared" si="5"/>
        <v>73000000</v>
      </c>
      <c r="G28" s="676">
        <f t="shared" si="5"/>
        <v>0</v>
      </c>
      <c r="H28" s="676">
        <f t="shared" si="5"/>
        <v>110250000</v>
      </c>
    </row>
    <row r="29" spans="1:8" s="162" customFormat="1" ht="17.25" customHeight="1">
      <c r="A29" s="675" t="s">
        <v>8</v>
      </c>
      <c r="B29" s="675" t="s">
        <v>61</v>
      </c>
      <c r="C29" s="676">
        <v>0</v>
      </c>
      <c r="D29" s="676">
        <v>140518821</v>
      </c>
      <c r="E29" s="677">
        <f t="array" ref="E29">SUM(IF(A29=KHN,TH))</f>
        <v>2639690710</v>
      </c>
      <c r="F29" s="677">
        <f t="array" ref="F29">SUM(IF(A29=KHC,TH))</f>
        <v>2766809779</v>
      </c>
      <c r="G29" s="676">
        <f t="shared" si="3"/>
        <v>0</v>
      </c>
      <c r="H29" s="676">
        <f t="shared" si="4"/>
        <v>267637890</v>
      </c>
    </row>
    <row r="30" spans="1:8" s="162" customFormat="1" ht="17.25" customHeight="1">
      <c r="A30" s="682" t="s">
        <v>495</v>
      </c>
      <c r="B30" s="672" t="s">
        <v>494</v>
      </c>
      <c r="C30" s="673">
        <v>0</v>
      </c>
      <c r="D30" s="673">
        <v>0</v>
      </c>
      <c r="E30" s="673">
        <f t="array" ref="E30">SUM(IF(A30=KHN,TH))</f>
        <v>204654553</v>
      </c>
      <c r="F30" s="673">
        <f t="array" ref="F30">SUM(IF(A30=KHC,TH))</f>
        <v>204654553</v>
      </c>
      <c r="G30" s="673">
        <f t="shared" ref="G30" si="6">MAX(C30+E30-D30-F30,0)</f>
        <v>0</v>
      </c>
      <c r="H30" s="673">
        <f t="shared" ref="H30" si="7">MAX(D30+F30-E30-C30,0)</f>
        <v>0</v>
      </c>
    </row>
    <row r="31" spans="1:8" s="162" customFormat="1" ht="17.25" customHeight="1">
      <c r="A31" s="672" t="s">
        <v>62</v>
      </c>
      <c r="B31" s="672" t="s">
        <v>63</v>
      </c>
      <c r="C31" s="673">
        <v>0</v>
      </c>
      <c r="D31" s="673">
        <v>22244468</v>
      </c>
      <c r="E31" s="673">
        <f t="array" ref="E31">SUM(IF(A31=KHN,TH))</f>
        <v>0</v>
      </c>
      <c r="F31" s="673">
        <f t="array" ref="F31">SUM(IF(A31=KHC,TH))</f>
        <v>0</v>
      </c>
      <c r="G31" s="673">
        <f t="shared" si="3"/>
        <v>0</v>
      </c>
      <c r="H31" s="673">
        <f t="shared" si="4"/>
        <v>22244468</v>
      </c>
    </row>
    <row r="32" spans="1:8" s="162" customFormat="1" ht="17.25" customHeight="1">
      <c r="A32" s="682" t="s">
        <v>64</v>
      </c>
      <c r="B32" s="683" t="s">
        <v>65</v>
      </c>
      <c r="C32" s="684">
        <v>0</v>
      </c>
      <c r="D32" s="684">
        <v>0</v>
      </c>
      <c r="E32" s="684">
        <f t="array" ref="E32">SUM(IF(A32=KHN,TH))</f>
        <v>2000000</v>
      </c>
      <c r="F32" s="684">
        <f t="array" ref="F32">SUM(IF(A32=KHC,TH))</f>
        <v>2000000</v>
      </c>
      <c r="G32" s="684">
        <f t="shared" si="3"/>
        <v>0</v>
      </c>
      <c r="H32" s="684">
        <f t="shared" si="4"/>
        <v>0</v>
      </c>
    </row>
    <row r="33" spans="1:11" s="162" customFormat="1" ht="17.25" customHeight="1">
      <c r="A33" s="672" t="s">
        <v>18</v>
      </c>
      <c r="B33" s="672" t="s">
        <v>66</v>
      </c>
      <c r="C33" s="673">
        <v>0</v>
      </c>
      <c r="D33" s="673">
        <v>0</v>
      </c>
      <c r="E33" s="673">
        <f t="shared" ref="E33:H33" si="8">E32</f>
        <v>2000000</v>
      </c>
      <c r="F33" s="673">
        <f t="shared" si="8"/>
        <v>2000000</v>
      </c>
      <c r="G33" s="673">
        <f t="shared" si="8"/>
        <v>0</v>
      </c>
      <c r="H33" s="673">
        <f t="shared" si="8"/>
        <v>0</v>
      </c>
    </row>
    <row r="34" spans="1:11" s="162" customFormat="1" ht="17.25" customHeight="1">
      <c r="A34" s="675" t="s">
        <v>67</v>
      </c>
      <c r="B34" s="675" t="s">
        <v>68</v>
      </c>
      <c r="C34" s="676">
        <f>C30+C31+C33</f>
        <v>0</v>
      </c>
      <c r="D34" s="676">
        <f t="shared" ref="D34:H34" si="9">D30+D31+D33</f>
        <v>22244468</v>
      </c>
      <c r="E34" s="676">
        <f t="shared" si="9"/>
        <v>206654553</v>
      </c>
      <c r="F34" s="676">
        <f t="shared" si="9"/>
        <v>206654553</v>
      </c>
      <c r="G34" s="676">
        <f t="shared" si="9"/>
        <v>0</v>
      </c>
      <c r="H34" s="676">
        <f t="shared" si="9"/>
        <v>22244468</v>
      </c>
    </row>
    <row r="35" spans="1:11" s="162" customFormat="1" ht="17.25" customHeight="1">
      <c r="A35" s="672" t="s">
        <v>287</v>
      </c>
      <c r="B35" s="672" t="s">
        <v>288</v>
      </c>
      <c r="C35" s="673">
        <v>0</v>
      </c>
      <c r="D35" s="673">
        <v>0</v>
      </c>
      <c r="E35" s="673">
        <f t="array" ref="E35">SUM(IF(A35=KHN,TH))</f>
        <v>273300000</v>
      </c>
      <c r="F35" s="673">
        <f t="array" ref="F35">SUM(IF(A35=KHC,TH))</f>
        <v>273300000</v>
      </c>
      <c r="G35" s="673">
        <f t="shared" ref="G35:G37" si="10">MAX(C35+E35-D35-F35,0)</f>
        <v>0</v>
      </c>
      <c r="H35" s="673">
        <f t="shared" ref="H35:H37" si="11">MAX(D35+F35-E35-C35,0)</f>
        <v>0</v>
      </c>
    </row>
    <row r="36" spans="1:11" s="162" customFormat="1" ht="17.25" customHeight="1">
      <c r="A36" s="675" t="s">
        <v>289</v>
      </c>
      <c r="B36" s="675" t="s">
        <v>290</v>
      </c>
      <c r="C36" s="676">
        <v>0</v>
      </c>
      <c r="D36" s="676">
        <v>0</v>
      </c>
      <c r="E36" s="676">
        <f>E35</f>
        <v>273300000</v>
      </c>
      <c r="F36" s="676">
        <f>F35</f>
        <v>273300000</v>
      </c>
      <c r="G36" s="676">
        <f t="shared" si="10"/>
        <v>0</v>
      </c>
      <c r="H36" s="676">
        <f t="shared" si="11"/>
        <v>0</v>
      </c>
    </row>
    <row r="37" spans="1:11" s="162" customFormat="1" ht="17.25" customHeight="1">
      <c r="A37" s="672" t="s">
        <v>17</v>
      </c>
      <c r="B37" s="672" t="s">
        <v>69</v>
      </c>
      <c r="C37" s="673">
        <v>0</v>
      </c>
      <c r="D37" s="673">
        <v>0</v>
      </c>
      <c r="E37" s="673">
        <f t="array" ref="E37">SUM(IF(A37=KHN,TH))</f>
        <v>0</v>
      </c>
      <c r="F37" s="673">
        <f t="array" ref="F37">SUM(IF(A37=KHC,TH))</f>
        <v>2709616</v>
      </c>
      <c r="G37" s="673">
        <f t="shared" si="10"/>
        <v>0</v>
      </c>
      <c r="H37" s="673">
        <f t="shared" si="11"/>
        <v>2709616</v>
      </c>
    </row>
    <row r="38" spans="1:11" s="162" customFormat="1" ht="17.25" customHeight="1">
      <c r="A38" s="675" t="s">
        <v>70</v>
      </c>
      <c r="B38" s="675" t="s">
        <v>71</v>
      </c>
      <c r="C38" s="676">
        <v>0</v>
      </c>
      <c r="D38" s="676">
        <v>0</v>
      </c>
      <c r="E38" s="676">
        <f t="shared" ref="E38:H38" si="12">SUM(E37:E37)</f>
        <v>0</v>
      </c>
      <c r="F38" s="676">
        <f t="shared" si="12"/>
        <v>2709616</v>
      </c>
      <c r="G38" s="676">
        <f t="shared" si="12"/>
        <v>0</v>
      </c>
      <c r="H38" s="676">
        <f t="shared" si="12"/>
        <v>2709616</v>
      </c>
    </row>
    <row r="39" spans="1:11" s="162" customFormat="1" ht="17.25" customHeight="1">
      <c r="A39" s="672" t="s">
        <v>25</v>
      </c>
      <c r="B39" s="672" t="s">
        <v>72</v>
      </c>
      <c r="C39" s="673">
        <v>0</v>
      </c>
      <c r="D39" s="673">
        <v>1900000000</v>
      </c>
      <c r="E39" s="673">
        <f t="array" ref="E39">SUM(IF(A39=KHN,TH))</f>
        <v>0</v>
      </c>
      <c r="F39" s="673">
        <f t="array" ref="F39">SUM(IF(A39=KHC,TH))</f>
        <v>0</v>
      </c>
      <c r="G39" s="674">
        <f>MAX(C39+E39-D39-F39,0)</f>
        <v>0</v>
      </c>
      <c r="H39" s="674">
        <f>MAX(D39+F39-E39-C39,0)</f>
        <v>1900000000</v>
      </c>
    </row>
    <row r="40" spans="1:11" s="162" customFormat="1" ht="17.25" customHeight="1">
      <c r="A40" s="675" t="s">
        <v>73</v>
      </c>
      <c r="B40" s="675" t="s">
        <v>74</v>
      </c>
      <c r="C40" s="676">
        <v>0</v>
      </c>
      <c r="D40" s="676">
        <v>1900000000</v>
      </c>
      <c r="E40" s="676">
        <f>E39</f>
        <v>0</v>
      </c>
      <c r="F40" s="676">
        <f>F39</f>
        <v>0</v>
      </c>
      <c r="G40" s="676">
        <f>MAX(C40+E40-D40-F40,0)</f>
        <v>0</v>
      </c>
      <c r="H40" s="676">
        <f>MAX(D40+F40-E40-C40,0)</f>
        <v>1900000000</v>
      </c>
    </row>
    <row r="41" spans="1:11" s="162" customFormat="1" ht="17.25" customHeight="1">
      <c r="A41" s="671" t="s">
        <v>75</v>
      </c>
      <c r="B41" s="672" t="s">
        <v>76</v>
      </c>
      <c r="C41" s="673">
        <v>0</v>
      </c>
      <c r="D41" s="673">
        <v>102666775</v>
      </c>
      <c r="E41" s="673">
        <f t="array" ref="E41">SUM(IF(A41=KHN,TH))</f>
        <v>0</v>
      </c>
      <c r="F41" s="673">
        <f t="array" ref="F41">SUM(IF(A41=KHC,TH))</f>
        <v>0</v>
      </c>
      <c r="G41" s="674">
        <f>MAX(C41+E41-D41-F41,0)</f>
        <v>0</v>
      </c>
      <c r="H41" s="674">
        <f>MAX(D41+F41-E41-C41,0)</f>
        <v>102666775</v>
      </c>
    </row>
    <row r="42" spans="1:11" s="162" customFormat="1" ht="17.25" customHeight="1">
      <c r="A42" s="672" t="s">
        <v>77</v>
      </c>
      <c r="B42" s="672" t="s">
        <v>78</v>
      </c>
      <c r="C42" s="673"/>
      <c r="D42" s="673"/>
      <c r="E42" s="673">
        <f t="array" ref="E42">SUM(IF(A42=TH!$L$10:$L$3304,TH!$K$10:$K$3304))</f>
        <v>14427793</v>
      </c>
      <c r="F42" s="673">
        <f t="array" ref="F42">SUM(IF(A42=TH!$M$10:$M$3304,TH!$K$10:$K$3304))</f>
        <v>0</v>
      </c>
      <c r="G42" s="673">
        <f>MAX(C42+E42-D42-F42,0)</f>
        <v>14427793</v>
      </c>
      <c r="H42" s="673">
        <f>MAX(D42+F42-E42-C42,0)</f>
        <v>0</v>
      </c>
      <c r="K42" s="162">
        <v>-80003100</v>
      </c>
    </row>
    <row r="43" spans="1:11" s="162" customFormat="1" ht="17.25" customHeight="1">
      <c r="A43" s="675" t="s">
        <v>79</v>
      </c>
      <c r="B43" s="675" t="s">
        <v>80</v>
      </c>
      <c r="C43" s="676">
        <f>C41+C42</f>
        <v>0</v>
      </c>
      <c r="D43" s="676">
        <f>D41+D42</f>
        <v>102666775</v>
      </c>
      <c r="E43" s="676">
        <f t="shared" ref="E43:H43" si="13">E41+E42</f>
        <v>14427793</v>
      </c>
      <c r="F43" s="676">
        <f t="shared" si="13"/>
        <v>0</v>
      </c>
      <c r="G43" s="676">
        <f t="shared" si="13"/>
        <v>14427793</v>
      </c>
      <c r="H43" s="676">
        <f t="shared" si="13"/>
        <v>102666775</v>
      </c>
    </row>
    <row r="44" spans="1:11" s="162" customFormat="1" ht="17.25" customHeight="1">
      <c r="A44" s="671" t="s">
        <v>185</v>
      </c>
      <c r="B44" s="672" t="s">
        <v>186</v>
      </c>
      <c r="C44" s="673"/>
      <c r="D44" s="673"/>
      <c r="E44" s="673">
        <f t="array" ref="E44">SUM(IF(A44=KHN,TH))</f>
        <v>2046545483</v>
      </c>
      <c r="F44" s="673">
        <f t="array" ref="F44">SUM(IF(A44=KHC,TH))</f>
        <v>2046545483</v>
      </c>
      <c r="G44" s="674"/>
      <c r="H44" s="674"/>
      <c r="I44" s="162">
        <f>E44-F44</f>
        <v>0</v>
      </c>
      <c r="K44" s="162">
        <f>H43-G43</f>
        <v>88238982</v>
      </c>
    </row>
    <row r="45" spans="1:11" s="162" customFormat="1" ht="17.25" customHeight="1">
      <c r="A45" s="675" t="s">
        <v>187</v>
      </c>
      <c r="B45" s="675" t="s">
        <v>188</v>
      </c>
      <c r="C45" s="676"/>
      <c r="D45" s="676"/>
      <c r="E45" s="676">
        <f>E44</f>
        <v>2046545483</v>
      </c>
      <c r="F45" s="676">
        <f>F44</f>
        <v>2046545483</v>
      </c>
      <c r="G45" s="676"/>
      <c r="H45" s="676"/>
      <c r="I45" s="162">
        <f>E45-F45</f>
        <v>0</v>
      </c>
    </row>
    <row r="46" spans="1:11" s="162" customFormat="1" ht="17.25" customHeight="1">
      <c r="A46" s="675" t="s">
        <v>40</v>
      </c>
      <c r="B46" s="675" t="s">
        <v>81</v>
      </c>
      <c r="C46" s="676"/>
      <c r="D46" s="676"/>
      <c r="E46" s="677">
        <f t="array" ref="E46">SUM(IF(A46=KHN,TH))</f>
        <v>501718</v>
      </c>
      <c r="F46" s="677">
        <f t="array" ref="F46">SUM(IF(A46=KHC,TH))</f>
        <v>501718</v>
      </c>
      <c r="G46" s="676"/>
      <c r="H46" s="676"/>
      <c r="I46" s="162">
        <f t="shared" ref="I46:I54" si="14">E46-F46</f>
        <v>0</v>
      </c>
    </row>
    <row r="47" spans="1:11" s="162" customFormat="1" ht="17.25" customHeight="1">
      <c r="A47" s="675" t="s">
        <v>183</v>
      </c>
      <c r="B47" s="675" t="s">
        <v>184</v>
      </c>
      <c r="C47" s="676"/>
      <c r="D47" s="676"/>
      <c r="E47" s="677">
        <f t="array" ref="E47">SUM(IF(A47=KHN,TH))</f>
        <v>1914775083</v>
      </c>
      <c r="F47" s="677">
        <f t="array" ref="F47">SUM(IF(A47=KHC,TH))</f>
        <v>1914775083</v>
      </c>
      <c r="G47" s="676"/>
      <c r="H47" s="676"/>
      <c r="I47" s="162">
        <f t="shared" si="14"/>
        <v>0</v>
      </c>
    </row>
    <row r="48" spans="1:11" s="162" customFormat="1" ht="17.25" customHeight="1">
      <c r="A48" s="675" t="s">
        <v>82</v>
      </c>
      <c r="B48" s="675" t="s">
        <v>83</v>
      </c>
      <c r="C48" s="676"/>
      <c r="D48" s="676"/>
      <c r="E48" s="677">
        <f t="array" ref="E48">SUM(IF(A48=KHN,TH))</f>
        <v>0</v>
      </c>
      <c r="F48" s="677">
        <f t="array" ref="F48">SUM(IF(A48=KHC,TH))</f>
        <v>0</v>
      </c>
      <c r="G48" s="676"/>
      <c r="H48" s="676"/>
      <c r="I48" s="162">
        <f t="shared" si="14"/>
        <v>0</v>
      </c>
    </row>
    <row r="49" spans="1:9" s="162" customFormat="1" ht="17.25" customHeight="1">
      <c r="A49" s="681" t="s">
        <v>286</v>
      </c>
      <c r="B49" s="675" t="s">
        <v>358</v>
      </c>
      <c r="C49" s="676"/>
      <c r="D49" s="676"/>
      <c r="E49" s="677">
        <f t="array" ref="E49">SUM(IF(A49=KHN,TH))</f>
        <v>0</v>
      </c>
      <c r="F49" s="677">
        <f t="array" ref="F49">SUM(IF(A49=KHC,TH))</f>
        <v>0</v>
      </c>
      <c r="G49" s="676"/>
      <c r="H49" s="676"/>
      <c r="I49" s="162">
        <f>E49-F49</f>
        <v>0</v>
      </c>
    </row>
    <row r="50" spans="1:9" s="162" customFormat="1" ht="17.25" customHeight="1">
      <c r="A50" s="675" t="s">
        <v>84</v>
      </c>
      <c r="B50" s="675" t="s">
        <v>85</v>
      </c>
      <c r="C50" s="676"/>
      <c r="D50" s="676"/>
      <c r="E50" s="677">
        <f t="array" ref="E50">SUM(IF(A50=KHN,TH))</f>
        <v>146699853</v>
      </c>
      <c r="F50" s="677">
        <f t="array" ref="F50">SUM(IF(A50=KHC,TH))</f>
        <v>146699853</v>
      </c>
      <c r="G50" s="676"/>
      <c r="H50" s="676"/>
      <c r="I50" s="162">
        <f t="shared" si="14"/>
        <v>0</v>
      </c>
    </row>
    <row r="51" spans="1:9" s="162" customFormat="1" ht="17.25" customHeight="1">
      <c r="A51" s="681" t="s">
        <v>86</v>
      </c>
      <c r="B51" s="675" t="s">
        <v>87</v>
      </c>
      <c r="C51" s="676"/>
      <c r="D51" s="676"/>
      <c r="E51" s="677">
        <f t="array" ref="E51">SUM(IF(A51=KHN,TH))</f>
        <v>232</v>
      </c>
      <c r="F51" s="677">
        <f t="array" ref="F51">SUM(IF(A51=KHC,TH))</f>
        <v>232</v>
      </c>
      <c r="G51" s="676"/>
      <c r="H51" s="676"/>
      <c r="I51" s="162">
        <f t="shared" si="14"/>
        <v>0</v>
      </c>
    </row>
    <row r="52" spans="1:9" s="162" customFormat="1" ht="17.25" customHeight="1">
      <c r="A52" s="675" t="s">
        <v>88</v>
      </c>
      <c r="B52" s="675" t="s">
        <v>89</v>
      </c>
      <c r="C52" s="676"/>
      <c r="D52" s="676"/>
      <c r="E52" s="677">
        <f t="array" ref="E52">SUM(IF(A52=KHN,TH))</f>
        <v>290</v>
      </c>
      <c r="F52" s="677">
        <f t="array" ref="F52">SUM(IF(A52=KHC,TH))</f>
        <v>290</v>
      </c>
      <c r="G52" s="676"/>
      <c r="H52" s="676"/>
      <c r="I52" s="162">
        <f t="shared" si="14"/>
        <v>0</v>
      </c>
    </row>
    <row r="53" spans="1:9" s="162" customFormat="1" ht="17.25" customHeight="1">
      <c r="A53" s="681" t="s">
        <v>90</v>
      </c>
      <c r="B53" s="675" t="s">
        <v>91</v>
      </c>
      <c r="C53" s="676"/>
      <c r="D53" s="676"/>
      <c r="E53" s="677">
        <f t="array" ref="E53">SUM(IF(A53=KHN,TH))</f>
        <v>0</v>
      </c>
      <c r="F53" s="677">
        <f t="array" ref="F53">SUM(IF(A53=KHC,TH))</f>
        <v>0</v>
      </c>
      <c r="G53" s="676"/>
      <c r="H53" s="676"/>
      <c r="I53" s="162">
        <f t="shared" si="14"/>
        <v>0</v>
      </c>
    </row>
    <row r="54" spans="1:9" s="162" customFormat="1" ht="17.25" customHeight="1">
      <c r="A54" s="675" t="s">
        <v>92</v>
      </c>
      <c r="B54" s="675" t="s">
        <v>93</v>
      </c>
      <c r="C54" s="676"/>
      <c r="D54" s="676"/>
      <c r="E54" s="685">
        <f t="array" ref="E54">SUM(IF(A54=KHN,TH))</f>
        <v>2061475226</v>
      </c>
      <c r="F54" s="685">
        <f t="array" ref="F54">SUM(IF(A54=TH!$M$10:$M$3304,TH!$K$10:$K$3304))</f>
        <v>2061475226</v>
      </c>
      <c r="G54" s="676"/>
      <c r="H54" s="676"/>
      <c r="I54" s="162">
        <f t="shared" si="14"/>
        <v>0</v>
      </c>
    </row>
    <row r="55" spans="1:9" s="162" customFormat="1" ht="17.25" customHeight="1">
      <c r="A55" s="927" t="s">
        <v>39</v>
      </c>
      <c r="B55" s="928"/>
      <c r="C55" s="686">
        <f t="shared" ref="C55:H55" si="15">C11+C13+C14+C16+C18+C19+C22+C23+C24+C26+C28+C29+C34+C36+C38+C40+C43+C45+C46+C47+C48+C49+C50+C51+C52+C53+C54</f>
        <v>2202680064</v>
      </c>
      <c r="D55" s="686">
        <f t="shared" si="15"/>
        <v>2202680064</v>
      </c>
      <c r="E55" s="686">
        <f t="shared" si="15"/>
        <v>21743461432</v>
      </c>
      <c r="F55" s="686">
        <f t="shared" si="15"/>
        <v>21743461432</v>
      </c>
      <c r="G55" s="686">
        <f t="shared" si="15"/>
        <v>2405508749</v>
      </c>
      <c r="H55" s="686">
        <f t="shared" si="15"/>
        <v>2405508749</v>
      </c>
    </row>
    <row r="56" spans="1:9">
      <c r="E56" s="687"/>
      <c r="F56" s="688"/>
    </row>
    <row r="57" spans="1:9">
      <c r="D57" s="162">
        <f>C55-D55</f>
        <v>0</v>
      </c>
      <c r="E57" s="688"/>
      <c r="F57" s="688">
        <f>E55-F55</f>
        <v>0</v>
      </c>
      <c r="H57" s="688">
        <f>G55-H55</f>
        <v>0</v>
      </c>
    </row>
    <row r="58" spans="1:9">
      <c r="E58" s="689"/>
      <c r="F58" s="689"/>
    </row>
    <row r="59" spans="1:9">
      <c r="E59" s="689"/>
      <c r="F59" s="689"/>
    </row>
  </sheetData>
  <mergeCells count="6">
    <mergeCell ref="G8:H8"/>
    <mergeCell ref="A55:B55"/>
    <mergeCell ref="A8:A9"/>
    <mergeCell ref="B8:B9"/>
    <mergeCell ref="C8:D8"/>
    <mergeCell ref="E8:F8"/>
  </mergeCell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3314"/>
  <sheetViews>
    <sheetView topLeftCell="A7" workbookViewId="0">
      <pane ySplit="3" topLeftCell="A10" activePane="bottomLeft" state="frozen"/>
      <selection activeCell="A7" sqref="A7"/>
      <selection pane="bottomLeft" activeCell="H30" sqref="H30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1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557</v>
      </c>
      <c r="B1" s="31"/>
      <c r="C1" s="31"/>
      <c r="D1" s="32"/>
      <c r="E1" s="32"/>
      <c r="F1" s="33"/>
      <c r="G1" s="48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558</v>
      </c>
      <c r="B2" s="31"/>
      <c r="C2" s="31"/>
      <c r="D2" s="32"/>
      <c r="E2" s="32"/>
      <c r="F2" s="32"/>
      <c r="G2" s="48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9" t="s">
        <v>94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6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31" t="s">
        <v>118</v>
      </c>
      <c r="B7" s="933" t="s">
        <v>102</v>
      </c>
      <c r="C7" s="951" t="s">
        <v>20</v>
      </c>
      <c r="D7" s="952" t="s">
        <v>1</v>
      </c>
      <c r="E7" s="953"/>
      <c r="F7" s="951" t="s">
        <v>0</v>
      </c>
      <c r="G7" s="955" t="s">
        <v>117</v>
      </c>
      <c r="H7" s="935" t="s">
        <v>44</v>
      </c>
      <c r="I7" s="946" t="s">
        <v>283</v>
      </c>
      <c r="J7" s="947"/>
      <c r="K7" s="951" t="s">
        <v>167</v>
      </c>
      <c r="L7" s="954" t="s">
        <v>95</v>
      </c>
      <c r="M7" s="954"/>
      <c r="N7" s="938" t="s">
        <v>537</v>
      </c>
      <c r="O7" s="940" t="s">
        <v>48</v>
      </c>
      <c r="P7" s="941"/>
      <c r="Q7" s="942"/>
      <c r="R7" s="940" t="s">
        <v>52</v>
      </c>
      <c r="S7" s="941"/>
      <c r="T7" s="942"/>
      <c r="U7" s="938" t="s">
        <v>536</v>
      </c>
      <c r="V7" s="936" t="str">
        <f>CTTK!$E$7</f>
        <v>142</v>
      </c>
      <c r="W7" s="948" t="s">
        <v>173</v>
      </c>
      <c r="X7" s="948"/>
      <c r="Y7" s="948"/>
      <c r="Z7" s="948" t="s">
        <v>391</v>
      </c>
    </row>
    <row r="8" spans="1:26" ht="24.75" customHeight="1">
      <c r="A8" s="932"/>
      <c r="B8" s="934"/>
      <c r="C8" s="951"/>
      <c r="D8" s="202" t="s">
        <v>15</v>
      </c>
      <c r="E8" s="201" t="s">
        <v>32</v>
      </c>
      <c r="F8" s="951"/>
      <c r="G8" s="956"/>
      <c r="H8" s="935"/>
      <c r="I8" s="259" t="s">
        <v>222</v>
      </c>
      <c r="J8" s="259" t="s">
        <v>223</v>
      </c>
      <c r="K8" s="951"/>
      <c r="L8" s="203" t="s">
        <v>22</v>
      </c>
      <c r="M8" s="203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50"/>
      <c r="J10" s="250"/>
      <c r="K10" s="51">
        <f>CDPS!D42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50"/>
      <c r="J11" s="250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50"/>
      <c r="J12" s="250"/>
      <c r="K12" s="51">
        <f>SUMIF(KHN,M12,TH)</f>
        <v>1914775083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51"/>
      <c r="J13" s="251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50"/>
      <c r="J14" s="250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50"/>
      <c r="J15" s="250"/>
      <c r="K15" s="51">
        <f>SUMIF(KHN,M15,TH)</f>
        <v>146699853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50"/>
      <c r="J16" s="250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50"/>
      <c r="J17" s="250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50"/>
      <c r="J18" s="250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50"/>
      <c r="J19" s="250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1583</v>
      </c>
      <c r="G20" s="49"/>
      <c r="H20" s="50"/>
      <c r="I20" s="250"/>
      <c r="J20" s="250"/>
      <c r="K20" s="51">
        <v>14427793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customHeight="1">
      <c r="A21" s="204" t="str">
        <f>IF(B21&lt;&gt;"",IF(AND(B21&gt;=_TM1,B21&lt;=_TM2,OR(TH!L21="1111",TH!M21="1111")),TH!D21,""),"")</f>
        <v/>
      </c>
      <c r="B21" s="36">
        <f t="shared" ref="B21:B22" si="3">IF(C21&lt;&gt;"",MONTH(C21),"")</f>
        <v>1</v>
      </c>
      <c r="C21" s="740">
        <f>E21</f>
        <v>40910</v>
      </c>
      <c r="D21" s="740" t="s">
        <v>367</v>
      </c>
      <c r="E21" s="853">
        <v>40910</v>
      </c>
      <c r="F21" s="741" t="s">
        <v>509</v>
      </c>
      <c r="G21" s="742"/>
      <c r="H21" s="629"/>
      <c r="I21" s="487"/>
      <c r="J21" s="487"/>
      <c r="K21" s="743">
        <v>18250000</v>
      </c>
      <c r="L21" s="744" t="s">
        <v>175</v>
      </c>
      <c r="M21" s="744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6"/>
      <c r="AB21" s="606"/>
    </row>
    <row r="22" spans="1:30" ht="15.75" customHeight="1">
      <c r="A22" s="204" t="str">
        <f>IF(B22&lt;&gt;"",IF(AND(B22&gt;=_TM1,B22&lt;=_TM2,OR(TH!L22="1111",TH!M22="1111")),TH!D22,""),"")</f>
        <v/>
      </c>
      <c r="B22" s="36">
        <f t="shared" si="3"/>
        <v>1</v>
      </c>
      <c r="C22" s="740">
        <f>E22</f>
        <v>40910</v>
      </c>
      <c r="D22" s="740" t="s">
        <v>367</v>
      </c>
      <c r="E22" s="853">
        <v>40910</v>
      </c>
      <c r="F22" s="741" t="s">
        <v>510</v>
      </c>
      <c r="G22" s="742"/>
      <c r="H22" s="629"/>
      <c r="I22" s="487"/>
      <c r="J22" s="487"/>
      <c r="K22" s="743">
        <v>4566819</v>
      </c>
      <c r="L22" s="744" t="s">
        <v>175</v>
      </c>
      <c r="M22" s="744" t="s">
        <v>501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>x</v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6"/>
      <c r="AB22" s="606"/>
      <c r="AC22" s="606"/>
      <c r="AD22" s="606"/>
    </row>
    <row r="23" spans="1:30" s="606" customFormat="1" ht="15.75" customHeight="1">
      <c r="A23" s="204" t="str">
        <f>IF(B23&lt;&gt;"",IF(AND(B23&gt;=_TM1,B23&lt;=_TM2,OR(TH!L23="1111",TH!M23="1111")),TH!D23,""),"")</f>
        <v/>
      </c>
      <c r="B23" s="36">
        <f t="shared" ref="B23:B86" si="4">IF(C23&lt;&gt;"",MONTH(C23),"")</f>
        <v>1</v>
      </c>
      <c r="C23" s="191">
        <v>40910</v>
      </c>
      <c r="D23" s="184" t="s">
        <v>410</v>
      </c>
      <c r="E23" s="191">
        <v>40877</v>
      </c>
      <c r="F23" s="189" t="s">
        <v>581</v>
      </c>
      <c r="G23" s="488" t="s">
        <v>582</v>
      </c>
      <c r="H23" s="7" t="s">
        <v>401</v>
      </c>
      <c r="I23" s="252"/>
      <c r="J23" s="255"/>
      <c r="K23" s="615">
        <v>1600000</v>
      </c>
      <c r="L23" s="194" t="s">
        <v>175</v>
      </c>
      <c r="M23" s="616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30" s="606" customFormat="1" ht="15.75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410</v>
      </c>
      <c r="E24" s="191">
        <v>40877</v>
      </c>
      <c r="F24" s="189" t="s">
        <v>372</v>
      </c>
      <c r="G24" s="488" t="s">
        <v>582</v>
      </c>
      <c r="H24" s="7" t="s">
        <v>401</v>
      </c>
      <c r="I24" s="252"/>
      <c r="J24" s="255"/>
      <c r="K24" s="615">
        <v>160000</v>
      </c>
      <c r="L24" s="194" t="s">
        <v>9</v>
      </c>
      <c r="M24" s="616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6">
        <v>1</v>
      </c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583</v>
      </c>
      <c r="G25" s="488" t="s">
        <v>584</v>
      </c>
      <c r="H25" s="7" t="s">
        <v>401</v>
      </c>
      <c r="I25" s="252"/>
      <c r="J25" s="255"/>
      <c r="K25" s="615">
        <v>2740000</v>
      </c>
      <c r="L25" s="194" t="s">
        <v>175</v>
      </c>
      <c r="M25" s="616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91">
        <v>40910</v>
      </c>
      <c r="D26" s="184" t="s">
        <v>411</v>
      </c>
      <c r="E26" s="191">
        <v>40890</v>
      </c>
      <c r="F26" s="189" t="s">
        <v>372</v>
      </c>
      <c r="G26" s="488" t="s">
        <v>584</v>
      </c>
      <c r="H26" s="7" t="s">
        <v>401</v>
      </c>
      <c r="I26" s="252"/>
      <c r="J26" s="255"/>
      <c r="K26" s="615">
        <v>274000</v>
      </c>
      <c r="L26" s="194" t="s">
        <v>9</v>
      </c>
      <c r="M26" s="616" t="s">
        <v>48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>x</v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606">
        <v>1</v>
      </c>
      <c r="AB26" s="211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363</v>
      </c>
      <c r="E27" s="184">
        <v>40914</v>
      </c>
      <c r="F27" s="189" t="s">
        <v>365</v>
      </c>
      <c r="G27" s="617" t="s">
        <v>361</v>
      </c>
      <c r="H27" s="7" t="s">
        <v>496</v>
      </c>
      <c r="I27" s="252"/>
      <c r="J27" s="252"/>
      <c r="K27" s="615">
        <v>100000000</v>
      </c>
      <c r="L27" s="616" t="s">
        <v>24</v>
      </c>
      <c r="M27" s="616" t="s">
        <v>284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211"/>
    </row>
    <row r="28" spans="1:30" s="606" customFormat="1" ht="15.75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84">
        <v>40914</v>
      </c>
      <c r="D28" s="184" t="s">
        <v>408</v>
      </c>
      <c r="E28" s="184">
        <v>40914</v>
      </c>
      <c r="F28" s="189" t="s">
        <v>559</v>
      </c>
      <c r="G28" s="617" t="s">
        <v>361</v>
      </c>
      <c r="H28" s="7" t="s">
        <v>397</v>
      </c>
      <c r="I28" s="252"/>
      <c r="J28" s="252"/>
      <c r="K28" s="615">
        <v>20000000</v>
      </c>
      <c r="L28" s="616" t="s">
        <v>48</v>
      </c>
      <c r="M28" s="616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>x</v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30" s="606" customFormat="1" ht="15.75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ref="C29:C46" si="5">E29</f>
        <v>40915</v>
      </c>
      <c r="D29" s="191" t="s">
        <v>1585</v>
      </c>
      <c r="E29" s="191">
        <v>40915</v>
      </c>
      <c r="F29" s="192" t="s">
        <v>1478</v>
      </c>
      <c r="G29" s="490" t="s">
        <v>1477</v>
      </c>
      <c r="H29" s="193" t="s">
        <v>497</v>
      </c>
      <c r="I29" s="252">
        <v>25</v>
      </c>
      <c r="J29" s="252">
        <v>44600</v>
      </c>
      <c r="K29" s="615">
        <f>ROUND(I29*J29,0)</f>
        <v>1115000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1585</v>
      </c>
      <c r="E30" s="191">
        <v>40915</v>
      </c>
      <c r="F30" s="192" t="s">
        <v>1479</v>
      </c>
      <c r="G30" s="490" t="s">
        <v>1477</v>
      </c>
      <c r="H30" s="193" t="s">
        <v>497</v>
      </c>
      <c r="I30" s="252">
        <v>50</v>
      </c>
      <c r="J30" s="252">
        <v>24800</v>
      </c>
      <c r="K30" s="615">
        <f>ROUND(I30*J30,0)</f>
        <v>1240000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1585</v>
      </c>
      <c r="E31" s="191">
        <v>40915</v>
      </c>
      <c r="F31" s="192" t="s">
        <v>1480</v>
      </c>
      <c r="G31" s="490" t="s">
        <v>1477</v>
      </c>
      <c r="H31" s="193" t="s">
        <v>497</v>
      </c>
      <c r="I31" s="252">
        <v>25</v>
      </c>
      <c r="J31" s="252">
        <v>51500</v>
      </c>
      <c r="K31" s="615">
        <f>ROUND(I31*J31,0)</f>
        <v>1287500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1585</v>
      </c>
      <c r="E32" s="191">
        <v>40915</v>
      </c>
      <c r="F32" s="192" t="s">
        <v>1481</v>
      </c>
      <c r="G32" s="490" t="s">
        <v>1477</v>
      </c>
      <c r="H32" s="193" t="s">
        <v>497</v>
      </c>
      <c r="I32" s="252">
        <v>45</v>
      </c>
      <c r="J32" s="252">
        <v>36500</v>
      </c>
      <c r="K32" s="615">
        <f>ROUND(I32*J32,0)</f>
        <v>1642500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6" customFormat="1" ht="15.75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1585</v>
      </c>
      <c r="E33" s="191">
        <v>40915</v>
      </c>
      <c r="F33" s="192" t="s">
        <v>1482</v>
      </c>
      <c r="G33" s="490" t="s">
        <v>1477</v>
      </c>
      <c r="H33" s="193" t="s">
        <v>497</v>
      </c>
      <c r="I33" s="252">
        <v>100</v>
      </c>
      <c r="J33" s="252">
        <v>27700</v>
      </c>
      <c r="K33" s="615">
        <f>ROUND(I33*J33,0)</f>
        <v>2770000</v>
      </c>
      <c r="L33" s="194" t="s">
        <v>284</v>
      </c>
      <c r="M33" s="194" t="s">
        <v>185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/>
      <c r="AB33" s="211"/>
      <c r="AC33" s="211"/>
      <c r="AD33" s="211"/>
    </row>
    <row r="34" spans="1:30" s="606" customFormat="1" ht="15.75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1585</v>
      </c>
      <c r="E34" s="191">
        <v>40915</v>
      </c>
      <c r="F34" s="192" t="s">
        <v>549</v>
      </c>
      <c r="G34" s="490" t="s">
        <v>1477</v>
      </c>
      <c r="H34" s="193" t="s">
        <v>497</v>
      </c>
      <c r="I34" s="252"/>
      <c r="J34" s="252"/>
      <c r="K34" s="615">
        <v>805500</v>
      </c>
      <c r="L34" s="194" t="s">
        <v>284</v>
      </c>
      <c r="M34" s="194" t="s">
        <v>495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198"/>
      <c r="AB34" s="198"/>
      <c r="AC34" s="198"/>
      <c r="AD34" s="198"/>
    </row>
    <row r="35" spans="1:30" s="606" customFormat="1" ht="15.75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1586</v>
      </c>
      <c r="E35" s="191">
        <v>40915</v>
      </c>
      <c r="F35" s="192" t="s">
        <v>1483</v>
      </c>
      <c r="G35" s="490" t="s">
        <v>924</v>
      </c>
      <c r="H35" s="193" t="s">
        <v>497</v>
      </c>
      <c r="I35" s="252">
        <v>149</v>
      </c>
      <c r="J35" s="252">
        <v>18800</v>
      </c>
      <c r="K35" s="615">
        <f>ROUND(I35*J35,0)</f>
        <v>2801200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6" customFormat="1" ht="15.75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1586</v>
      </c>
      <c r="E36" s="191">
        <v>40915</v>
      </c>
      <c r="F36" s="192" t="s">
        <v>1111</v>
      </c>
      <c r="G36" s="490" t="s">
        <v>924</v>
      </c>
      <c r="H36" s="193" t="s">
        <v>497</v>
      </c>
      <c r="I36" s="252">
        <v>300</v>
      </c>
      <c r="J36" s="252">
        <v>1200</v>
      </c>
      <c r="K36" s="615">
        <f>ROUND(I36*J36,0)</f>
        <v>360000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6" customFormat="1" ht="15.75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1586</v>
      </c>
      <c r="E37" s="191">
        <v>40915</v>
      </c>
      <c r="F37" s="192" t="s">
        <v>1484</v>
      </c>
      <c r="G37" s="490" t="s">
        <v>924</v>
      </c>
      <c r="H37" s="193" t="s">
        <v>497</v>
      </c>
      <c r="I37" s="252">
        <v>119</v>
      </c>
      <c r="J37" s="252">
        <v>36700</v>
      </c>
      <c r="K37" s="615">
        <f>ROUND(I37*J37,0)</f>
        <v>4367300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6" customFormat="1" ht="15.75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1586</v>
      </c>
      <c r="E38" s="191">
        <v>40915</v>
      </c>
      <c r="F38" s="192" t="s">
        <v>1485</v>
      </c>
      <c r="G38" s="490" t="s">
        <v>924</v>
      </c>
      <c r="H38" s="193" t="s">
        <v>497</v>
      </c>
      <c r="I38" s="252">
        <v>240</v>
      </c>
      <c r="J38" s="252">
        <v>2900</v>
      </c>
      <c r="K38" s="615">
        <f>ROUND(I38*J38,0)</f>
        <v>696000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6" customFormat="1" ht="15.75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1586</v>
      </c>
      <c r="E39" s="191">
        <v>40915</v>
      </c>
      <c r="F39" s="192" t="s">
        <v>1112</v>
      </c>
      <c r="G39" s="490" t="s">
        <v>924</v>
      </c>
      <c r="H39" s="193" t="s">
        <v>497</v>
      </c>
      <c r="I39" s="252">
        <v>3900</v>
      </c>
      <c r="J39" s="252">
        <v>123</v>
      </c>
      <c r="K39" s="615">
        <f>ROUND(I39*J39,0)</f>
        <v>479700</v>
      </c>
      <c r="L39" s="194" t="s">
        <v>284</v>
      </c>
      <c r="M39" s="194" t="s">
        <v>185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211"/>
      <c r="AC39" s="211"/>
      <c r="AD39" s="211"/>
    </row>
    <row r="40" spans="1:30" s="606" customFormat="1" ht="15.75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40915</v>
      </c>
      <c r="D40" s="191" t="s">
        <v>1586</v>
      </c>
      <c r="E40" s="191">
        <v>40915</v>
      </c>
      <c r="F40" s="192" t="s">
        <v>549</v>
      </c>
      <c r="G40" s="490" t="s">
        <v>924</v>
      </c>
      <c r="H40" s="193" t="s">
        <v>497</v>
      </c>
      <c r="I40" s="252"/>
      <c r="J40" s="252"/>
      <c r="K40" s="615">
        <v>870420</v>
      </c>
      <c r="L40" s="194" t="s">
        <v>284</v>
      </c>
      <c r="M40" s="194" t="s">
        <v>495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198"/>
      <c r="AB40" s="198"/>
      <c r="AC40" s="198"/>
      <c r="AD40" s="198"/>
    </row>
    <row r="41" spans="1:30" s="606" customFormat="1" ht="15.75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1587</v>
      </c>
      <c r="E41" s="191">
        <v>40917</v>
      </c>
      <c r="F41" s="192" t="s">
        <v>1186</v>
      </c>
      <c r="G41" s="490" t="s">
        <v>926</v>
      </c>
      <c r="H41" s="193" t="s">
        <v>927</v>
      </c>
      <c r="I41" s="252">
        <v>973</v>
      </c>
      <c r="J41" s="252">
        <v>17850</v>
      </c>
      <c r="K41" s="615">
        <f>ROUND(I41*J41,0)</f>
        <v>17368050</v>
      </c>
      <c r="L41" s="194" t="s">
        <v>284</v>
      </c>
      <c r="M41" s="194" t="s">
        <v>185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211"/>
      <c r="AB41" s="211"/>
      <c r="AC41" s="211"/>
      <c r="AD41" s="211"/>
    </row>
    <row r="42" spans="1:30" s="606" customFormat="1" ht="15.75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1587</v>
      </c>
      <c r="E42" s="191">
        <v>40917</v>
      </c>
      <c r="F42" s="192" t="s">
        <v>549</v>
      </c>
      <c r="G42" s="490" t="s">
        <v>926</v>
      </c>
      <c r="H42" s="193" t="s">
        <v>927</v>
      </c>
      <c r="I42" s="252"/>
      <c r="J42" s="252"/>
      <c r="K42" s="615">
        <v>1736805</v>
      </c>
      <c r="L42" s="194" t="s">
        <v>284</v>
      </c>
      <c r="M42" s="194" t="s">
        <v>495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198"/>
      <c r="AB42" s="198"/>
      <c r="AC42" s="198"/>
      <c r="AD42" s="198"/>
    </row>
    <row r="43" spans="1:30" s="606" customFormat="1" ht="15.75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409</v>
      </c>
      <c r="E43" s="191">
        <v>40917</v>
      </c>
      <c r="F43" s="192" t="s">
        <v>365</v>
      </c>
      <c r="G43" s="490" t="s">
        <v>926</v>
      </c>
      <c r="H43" s="193" t="s">
        <v>927</v>
      </c>
      <c r="I43" s="252"/>
      <c r="J43" s="252"/>
      <c r="K43" s="615">
        <v>19104855</v>
      </c>
      <c r="L43" s="194" t="s">
        <v>48</v>
      </c>
      <c r="M43" s="194" t="s">
        <v>284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6" customFormat="1" ht="15.75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91">
        <f t="shared" si="5"/>
        <v>40917</v>
      </c>
      <c r="D44" s="191" t="s">
        <v>1588</v>
      </c>
      <c r="E44" s="191">
        <v>40917</v>
      </c>
      <c r="F44" s="192" t="s">
        <v>925</v>
      </c>
      <c r="G44" s="490" t="s">
        <v>928</v>
      </c>
      <c r="H44" s="193" t="s">
        <v>498</v>
      </c>
      <c r="I44" s="252">
        <v>1000</v>
      </c>
      <c r="J44" s="252">
        <v>10000</v>
      </c>
      <c r="K44" s="615">
        <f>ROUND(I44*J44,0)</f>
        <v>10000000</v>
      </c>
      <c r="L44" s="194" t="s">
        <v>284</v>
      </c>
      <c r="M44" s="194" t="s">
        <v>185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/>
      <c r="AB44" s="211"/>
      <c r="AC44" s="211"/>
      <c r="AD44" s="211"/>
    </row>
    <row r="45" spans="1:30" s="606" customFormat="1" ht="15.75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 t="shared" si="5"/>
        <v>40917</v>
      </c>
      <c r="D45" s="191" t="s">
        <v>1588</v>
      </c>
      <c r="E45" s="191">
        <v>40917</v>
      </c>
      <c r="F45" s="192" t="s">
        <v>549</v>
      </c>
      <c r="G45" s="490" t="s">
        <v>928</v>
      </c>
      <c r="H45" s="193" t="s">
        <v>498</v>
      </c>
      <c r="I45" s="252"/>
      <c r="J45" s="252"/>
      <c r="K45" s="615">
        <v>1000000</v>
      </c>
      <c r="L45" s="194" t="s">
        <v>284</v>
      </c>
      <c r="M45" s="194" t="s">
        <v>495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198"/>
      <c r="AB45" s="198"/>
      <c r="AC45" s="198"/>
      <c r="AD45" s="198"/>
    </row>
    <row r="46" spans="1:30" s="606" customFormat="1" ht="15.75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 t="shared" si="5"/>
        <v>40917</v>
      </c>
      <c r="D46" s="191" t="s">
        <v>440</v>
      </c>
      <c r="E46" s="191">
        <v>40917</v>
      </c>
      <c r="F46" s="192" t="s">
        <v>365</v>
      </c>
      <c r="G46" s="490" t="s">
        <v>928</v>
      </c>
      <c r="H46" s="193" t="s">
        <v>498</v>
      </c>
      <c r="I46" s="252"/>
      <c r="J46" s="252"/>
      <c r="K46" s="615">
        <v>11000000</v>
      </c>
      <c r="L46" s="194" t="s">
        <v>48</v>
      </c>
      <c r="M46" s="194" t="s">
        <v>284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6" customFormat="1" ht="15.75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40918</v>
      </c>
      <c r="D47" s="184" t="s">
        <v>363</v>
      </c>
      <c r="E47" s="191">
        <v>40918</v>
      </c>
      <c r="F47" s="189" t="s">
        <v>365</v>
      </c>
      <c r="G47" s="691" t="s">
        <v>361</v>
      </c>
      <c r="H47" s="7" t="s">
        <v>500</v>
      </c>
      <c r="I47" s="252"/>
      <c r="J47" s="252"/>
      <c r="K47" s="38">
        <v>54530300</v>
      </c>
      <c r="L47" s="616" t="s">
        <v>24</v>
      </c>
      <c r="M47" s="616" t="s">
        <v>284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6" customFormat="1" ht="15.75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91">
        <f>E48</f>
        <v>40918</v>
      </c>
      <c r="D48" s="191" t="s">
        <v>1589</v>
      </c>
      <c r="E48" s="191">
        <v>40918</v>
      </c>
      <c r="F48" s="192" t="s">
        <v>925</v>
      </c>
      <c r="G48" s="490" t="s">
        <v>929</v>
      </c>
      <c r="H48" s="193" t="s">
        <v>498</v>
      </c>
      <c r="I48" s="252">
        <v>202</v>
      </c>
      <c r="J48" s="252">
        <v>43800</v>
      </c>
      <c r="K48" s="615">
        <f>ROUND(I48*J48,0)</f>
        <v>8847600</v>
      </c>
      <c r="L48" s="194" t="s">
        <v>284</v>
      </c>
      <c r="M48" s="194" t="s">
        <v>185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1"/>
      <c r="AB48" s="211"/>
      <c r="AC48" s="211"/>
      <c r="AD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91">
        <f>E49</f>
        <v>40918</v>
      </c>
      <c r="D49" s="191" t="s">
        <v>1589</v>
      </c>
      <c r="E49" s="191">
        <v>40918</v>
      </c>
      <c r="F49" s="192" t="s">
        <v>549</v>
      </c>
      <c r="G49" s="490" t="s">
        <v>929</v>
      </c>
      <c r="H49" s="193" t="s">
        <v>498</v>
      </c>
      <c r="I49" s="252"/>
      <c r="J49" s="252"/>
      <c r="K49" s="615">
        <v>884760</v>
      </c>
      <c r="L49" s="194" t="s">
        <v>284</v>
      </c>
      <c r="M49" s="194" t="s">
        <v>495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198"/>
      <c r="AB49" s="198"/>
      <c r="AC49" s="198"/>
      <c r="AD49" s="198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91">
        <f>E50</f>
        <v>40918</v>
      </c>
      <c r="D50" s="191" t="s">
        <v>445</v>
      </c>
      <c r="E50" s="191">
        <v>40918</v>
      </c>
      <c r="F50" s="192" t="s">
        <v>365</v>
      </c>
      <c r="G50" s="490" t="s">
        <v>929</v>
      </c>
      <c r="H50" s="193" t="s">
        <v>498</v>
      </c>
      <c r="I50" s="252"/>
      <c r="J50" s="252"/>
      <c r="K50" s="615">
        <v>9732360</v>
      </c>
      <c r="L50" s="194" t="s">
        <v>48</v>
      </c>
      <c r="M50" s="194" t="s">
        <v>284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>x</v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198"/>
      <c r="AB50" s="198"/>
      <c r="AC50" s="198"/>
      <c r="AD50" s="198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40919</v>
      </c>
      <c r="D51" s="184" t="s">
        <v>538</v>
      </c>
      <c r="E51" s="191">
        <v>40919</v>
      </c>
      <c r="F51" s="189" t="s">
        <v>559</v>
      </c>
      <c r="G51" s="691" t="s">
        <v>361</v>
      </c>
      <c r="H51" s="7" t="s">
        <v>397</v>
      </c>
      <c r="I51" s="252"/>
      <c r="J51" s="252"/>
      <c r="K51" s="38">
        <v>130000000</v>
      </c>
      <c r="L51" s="616" t="s">
        <v>48</v>
      </c>
      <c r="M51" s="616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40919</v>
      </c>
      <c r="D52" s="184" t="s">
        <v>364</v>
      </c>
      <c r="E52" s="191">
        <v>40919</v>
      </c>
      <c r="F52" s="189" t="s">
        <v>366</v>
      </c>
      <c r="G52" s="488" t="s">
        <v>361</v>
      </c>
      <c r="H52" s="7"/>
      <c r="I52" s="252"/>
      <c r="J52" s="252"/>
      <c r="K52" s="38">
        <v>9091</v>
      </c>
      <c r="L52" s="616" t="s">
        <v>84</v>
      </c>
      <c r="M52" s="616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40919</v>
      </c>
      <c r="D53" s="184" t="s">
        <v>364</v>
      </c>
      <c r="E53" s="191">
        <v>40919</v>
      </c>
      <c r="F53" s="189" t="s">
        <v>1476</v>
      </c>
      <c r="G53" s="488" t="s">
        <v>361</v>
      </c>
      <c r="H53" s="7"/>
      <c r="I53" s="252"/>
      <c r="J53" s="252"/>
      <c r="K53" s="38">
        <v>909</v>
      </c>
      <c r="L53" s="616" t="s">
        <v>9</v>
      </c>
      <c r="M53" s="616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6">
        <v>1</v>
      </c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84">
        <v>40919</v>
      </c>
      <c r="D54" s="184" t="s">
        <v>364</v>
      </c>
      <c r="E54" s="191">
        <v>40919</v>
      </c>
      <c r="F54" s="189" t="s">
        <v>400</v>
      </c>
      <c r="G54" s="488" t="s">
        <v>361</v>
      </c>
      <c r="H54" s="7" t="s">
        <v>436</v>
      </c>
      <c r="I54" s="252"/>
      <c r="J54" s="252"/>
      <c r="K54" s="38">
        <v>19794013</v>
      </c>
      <c r="L54" s="616" t="s">
        <v>8</v>
      </c>
      <c r="M54" s="616" t="s">
        <v>24</v>
      </c>
      <c r="N54" s="52" t="str">
        <f>IF(AND('331-CT'!$E$7=TH!H54,OR(L54="331",M54="331")),"331",IF(AND(OR(L54="131",M54="131"),H54='131-CT'!$E$7),"131",""))</f>
        <v>331</v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84">
        <v>40921</v>
      </c>
      <c r="D55" s="184" t="s">
        <v>363</v>
      </c>
      <c r="E55" s="191">
        <v>40921</v>
      </c>
      <c r="F55" s="192" t="s">
        <v>365</v>
      </c>
      <c r="G55" s="488" t="s">
        <v>361</v>
      </c>
      <c r="H55" s="7" t="s">
        <v>496</v>
      </c>
      <c r="I55" s="252"/>
      <c r="J55" s="252"/>
      <c r="K55" s="692">
        <v>17694269</v>
      </c>
      <c r="L55" s="616" t="s">
        <v>24</v>
      </c>
      <c r="M55" s="616" t="s">
        <v>284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84">
        <v>40921</v>
      </c>
      <c r="D56" s="184" t="s">
        <v>412</v>
      </c>
      <c r="E56" s="191">
        <v>40921</v>
      </c>
      <c r="F56" s="192" t="s">
        <v>560</v>
      </c>
      <c r="G56" s="488" t="s">
        <v>561</v>
      </c>
      <c r="H56" s="45" t="s">
        <v>562</v>
      </c>
      <c r="I56" s="252"/>
      <c r="J56" s="252"/>
      <c r="K56" s="38">
        <v>900000</v>
      </c>
      <c r="L56" s="616" t="s">
        <v>175</v>
      </c>
      <c r="M56" s="616" t="s">
        <v>48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84">
        <v>40921</v>
      </c>
      <c r="D57" s="184" t="s">
        <v>412</v>
      </c>
      <c r="E57" s="191">
        <v>40921</v>
      </c>
      <c r="F57" s="192" t="s">
        <v>372</v>
      </c>
      <c r="G57" s="488" t="s">
        <v>561</v>
      </c>
      <c r="H57" s="45" t="s">
        <v>562</v>
      </c>
      <c r="I57" s="252"/>
      <c r="J57" s="252"/>
      <c r="K57" s="38">
        <v>90000</v>
      </c>
      <c r="L57" s="616" t="s">
        <v>9</v>
      </c>
      <c r="M57" s="616" t="s">
        <v>48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606">
        <v>2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ref="C58:C63" si="6">E58</f>
        <v>40922</v>
      </c>
      <c r="D58" s="191" t="s">
        <v>1590</v>
      </c>
      <c r="E58" s="191">
        <v>40922</v>
      </c>
      <c r="F58" s="192" t="s">
        <v>1113</v>
      </c>
      <c r="G58" s="490" t="s">
        <v>930</v>
      </c>
      <c r="H58" s="7" t="s">
        <v>499</v>
      </c>
      <c r="I58" s="252">
        <v>492</v>
      </c>
      <c r="J58" s="252">
        <v>5180</v>
      </c>
      <c r="K58" s="615">
        <f>ROUND(I58*J58,0)</f>
        <v>2548560</v>
      </c>
      <c r="L58" s="194" t="s">
        <v>284</v>
      </c>
      <c r="M58" s="194" t="s">
        <v>185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  <c r="AB58" s="211"/>
      <c r="AC58" s="211"/>
      <c r="AD58" s="211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91">
        <f t="shared" si="6"/>
        <v>40922</v>
      </c>
      <c r="D59" s="191" t="s">
        <v>1590</v>
      </c>
      <c r="E59" s="191">
        <v>40922</v>
      </c>
      <c r="F59" s="192" t="s">
        <v>1486</v>
      </c>
      <c r="G59" s="490" t="s">
        <v>930</v>
      </c>
      <c r="H59" s="7" t="s">
        <v>499</v>
      </c>
      <c r="I59" s="252">
        <v>304</v>
      </c>
      <c r="J59" s="252">
        <v>5100</v>
      </c>
      <c r="K59" s="615">
        <f>ROUND(I59*J59,0)</f>
        <v>1550400</v>
      </c>
      <c r="L59" s="194" t="s">
        <v>284</v>
      </c>
      <c r="M59" s="194" t="s">
        <v>185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211"/>
      <c r="AB59" s="211"/>
      <c r="AC59" s="211"/>
      <c r="AD59" s="211"/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91">
        <f t="shared" si="6"/>
        <v>40922</v>
      </c>
      <c r="D60" s="191" t="s">
        <v>1590</v>
      </c>
      <c r="E60" s="191">
        <v>40922</v>
      </c>
      <c r="F60" s="192" t="s">
        <v>1487</v>
      </c>
      <c r="G60" s="490" t="s">
        <v>930</v>
      </c>
      <c r="H60" s="7" t="s">
        <v>499</v>
      </c>
      <c r="I60" s="252">
        <v>1000</v>
      </c>
      <c r="J60" s="252">
        <v>9500</v>
      </c>
      <c r="K60" s="615">
        <f>ROUND(I60*J60,0)</f>
        <v>9500000</v>
      </c>
      <c r="L60" s="194" t="s">
        <v>284</v>
      </c>
      <c r="M60" s="194" t="s">
        <v>185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211"/>
      <c r="AB60" s="211"/>
      <c r="AC60" s="211"/>
      <c r="AD60" s="211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91">
        <f t="shared" si="6"/>
        <v>40922</v>
      </c>
      <c r="D61" s="191" t="s">
        <v>1590</v>
      </c>
      <c r="E61" s="191">
        <v>40922</v>
      </c>
      <c r="F61" s="192" t="s">
        <v>1488</v>
      </c>
      <c r="G61" s="490" t="s">
        <v>930</v>
      </c>
      <c r="H61" s="7" t="s">
        <v>499</v>
      </c>
      <c r="I61" s="252">
        <v>500</v>
      </c>
      <c r="J61" s="252">
        <v>6680</v>
      </c>
      <c r="K61" s="615">
        <f>ROUND(I61*J61,0)</f>
        <v>3340000</v>
      </c>
      <c r="L61" s="194" t="s">
        <v>284</v>
      </c>
      <c r="M61" s="194" t="s">
        <v>185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211"/>
      <c r="AB61" s="211"/>
      <c r="AC61" s="211"/>
      <c r="AD61" s="211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91">
        <f t="shared" si="6"/>
        <v>40922</v>
      </c>
      <c r="D62" s="191" t="s">
        <v>1590</v>
      </c>
      <c r="E62" s="191">
        <v>40922</v>
      </c>
      <c r="F62" s="192" t="s">
        <v>549</v>
      </c>
      <c r="G62" s="490" t="s">
        <v>930</v>
      </c>
      <c r="H62" s="7" t="s">
        <v>499</v>
      </c>
      <c r="I62" s="252"/>
      <c r="J62" s="252"/>
      <c r="K62" s="615">
        <v>1693896</v>
      </c>
      <c r="L62" s="194" t="s">
        <v>284</v>
      </c>
      <c r="M62" s="194" t="s">
        <v>495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198"/>
      <c r="AB62" s="198"/>
      <c r="AC62" s="198"/>
      <c r="AD62" s="198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91">
        <f t="shared" si="6"/>
        <v>40922</v>
      </c>
      <c r="D63" s="191" t="s">
        <v>543</v>
      </c>
      <c r="E63" s="191">
        <v>40922</v>
      </c>
      <c r="F63" s="192" t="s">
        <v>365</v>
      </c>
      <c r="G63" s="490" t="s">
        <v>930</v>
      </c>
      <c r="H63" s="7" t="s">
        <v>499</v>
      </c>
      <c r="I63" s="252"/>
      <c r="J63" s="252"/>
      <c r="K63" s="615">
        <v>18632856</v>
      </c>
      <c r="L63" s="194" t="s">
        <v>48</v>
      </c>
      <c r="M63" s="194" t="s">
        <v>284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>x</v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198"/>
      <c r="AB63" s="198"/>
      <c r="AC63" s="198"/>
      <c r="AD63" s="198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1241</v>
      </c>
      <c r="G64" s="691" t="s">
        <v>563</v>
      </c>
      <c r="H64" s="7" t="s">
        <v>436</v>
      </c>
      <c r="I64" s="252">
        <v>100</v>
      </c>
      <c r="J64" s="252">
        <v>16988</v>
      </c>
      <c r="K64" s="615">
        <v>1698800</v>
      </c>
      <c r="L64" s="616" t="s">
        <v>169</v>
      </c>
      <c r="M64" s="616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7" s="606" customFormat="1" ht="15.75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1242</v>
      </c>
      <c r="G65" s="691" t="s">
        <v>563</v>
      </c>
      <c r="H65" s="7" t="s">
        <v>436</v>
      </c>
      <c r="I65" s="252">
        <v>150</v>
      </c>
      <c r="J65" s="252">
        <v>17097</v>
      </c>
      <c r="K65" s="615">
        <v>2564550</v>
      </c>
      <c r="L65" s="616" t="s">
        <v>169</v>
      </c>
      <c r="M65" s="616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</row>
    <row r="66" spans="1:27" s="606" customFormat="1" ht="15.75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91">
        <v>40924</v>
      </c>
      <c r="F66" s="192" t="s">
        <v>1243</v>
      </c>
      <c r="G66" s="488" t="s">
        <v>563</v>
      </c>
      <c r="H66" s="7" t="s">
        <v>436</v>
      </c>
      <c r="I66" s="252">
        <v>175</v>
      </c>
      <c r="J66" s="252">
        <v>17533</v>
      </c>
      <c r="K66" s="38">
        <v>3068275</v>
      </c>
      <c r="L66" s="616" t="s">
        <v>169</v>
      </c>
      <c r="M66" s="616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7" s="606" customFormat="1" ht="15.75" customHeight="1">
      <c r="A67" s="204" t="str">
        <f>IF(B67&lt;&gt;"",IF(AND(B67&gt;=_TM1,B67&lt;=_TM2,OR(TH!L67="1111",TH!M67="1111")),TH!D67,""),"")</f>
        <v/>
      </c>
      <c r="B67" s="36">
        <f t="shared" si="4"/>
        <v>1</v>
      </c>
      <c r="C67" s="184">
        <v>40924</v>
      </c>
      <c r="D67" s="184" t="s">
        <v>461</v>
      </c>
      <c r="E67" s="191">
        <v>40924</v>
      </c>
      <c r="F67" s="192" t="s">
        <v>564</v>
      </c>
      <c r="G67" s="488" t="s">
        <v>563</v>
      </c>
      <c r="H67" s="7" t="s">
        <v>436</v>
      </c>
      <c r="I67" s="252">
        <v>210</v>
      </c>
      <c r="J67" s="252">
        <v>26898</v>
      </c>
      <c r="K67" s="38">
        <v>5648580</v>
      </c>
      <c r="L67" s="616" t="s">
        <v>169</v>
      </c>
      <c r="M67" s="616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7" s="606" customFormat="1" ht="15.75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1244</v>
      </c>
      <c r="G68" s="691" t="s">
        <v>563</v>
      </c>
      <c r="H68" s="7" t="s">
        <v>436</v>
      </c>
      <c r="I68" s="252">
        <v>420</v>
      </c>
      <c r="J68" s="252">
        <v>17139</v>
      </c>
      <c r="K68" s="615">
        <v>7198380</v>
      </c>
      <c r="L68" s="616" t="s">
        <v>169</v>
      </c>
      <c r="M68" s="616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7" s="606" customFormat="1" ht="15.75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461</v>
      </c>
      <c r="E69" s="184">
        <v>40924</v>
      </c>
      <c r="F69" s="189" t="s">
        <v>1245</v>
      </c>
      <c r="G69" s="691" t="s">
        <v>563</v>
      </c>
      <c r="H69" s="7" t="s">
        <v>436</v>
      </c>
      <c r="I69" s="252">
        <v>100</v>
      </c>
      <c r="J69" s="252">
        <v>25616</v>
      </c>
      <c r="K69" s="615">
        <v>2561600</v>
      </c>
      <c r="L69" s="616" t="s">
        <v>169</v>
      </c>
      <c r="M69" s="616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7" s="606" customFormat="1" ht="15.75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461</v>
      </c>
      <c r="E70" s="184">
        <v>40924</v>
      </c>
      <c r="F70" s="189" t="s">
        <v>1246</v>
      </c>
      <c r="G70" s="691" t="s">
        <v>563</v>
      </c>
      <c r="H70" s="7" t="s">
        <v>436</v>
      </c>
      <c r="I70" s="252">
        <v>100</v>
      </c>
      <c r="J70" s="252">
        <v>11435</v>
      </c>
      <c r="K70" s="615">
        <v>1143500</v>
      </c>
      <c r="L70" s="616" t="s">
        <v>169</v>
      </c>
      <c r="M70" s="616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211"/>
    </row>
    <row r="71" spans="1:27" s="606" customFormat="1" ht="15.75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461</v>
      </c>
      <c r="E71" s="184">
        <v>40924</v>
      </c>
      <c r="F71" s="189" t="s">
        <v>1247</v>
      </c>
      <c r="G71" s="691" t="s">
        <v>563</v>
      </c>
      <c r="H71" s="7" t="s">
        <v>436</v>
      </c>
      <c r="I71" s="252">
        <v>100</v>
      </c>
      <c r="J71" s="252">
        <v>24206</v>
      </c>
      <c r="K71" s="615">
        <v>2420600</v>
      </c>
      <c r="L71" s="616" t="s">
        <v>169</v>
      </c>
      <c r="M71" s="616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27" s="606" customFormat="1" ht="15.75" customHeight="1">
      <c r="A72" s="204" t="str">
        <f>IF(B72&lt;&gt;"",IF(AND(B72&gt;=_TM1,B72&lt;=_TM2,OR(TH!L72="1111",TH!M72="1111")),TH!D72,""),"")</f>
        <v/>
      </c>
      <c r="B72" s="732">
        <f t="shared" si="4"/>
        <v>1</v>
      </c>
      <c r="C72" s="184">
        <v>40924</v>
      </c>
      <c r="D72" s="184" t="s">
        <v>461</v>
      </c>
      <c r="E72" s="184">
        <v>40924</v>
      </c>
      <c r="F72" s="189" t="s">
        <v>1248</v>
      </c>
      <c r="G72" s="691" t="s">
        <v>563</v>
      </c>
      <c r="H72" s="7" t="s">
        <v>436</v>
      </c>
      <c r="I72" s="252">
        <v>140</v>
      </c>
      <c r="J72" s="252">
        <v>20059</v>
      </c>
      <c r="K72" s="615">
        <v>2808260</v>
      </c>
      <c r="L72" s="616" t="s">
        <v>169</v>
      </c>
      <c r="M72" s="616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38"/>
    </row>
    <row r="73" spans="1:27" s="606" customFormat="1" ht="15.75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461</v>
      </c>
      <c r="E73" s="184">
        <v>40924</v>
      </c>
      <c r="F73" s="189" t="s">
        <v>554</v>
      </c>
      <c r="G73" s="691" t="s">
        <v>563</v>
      </c>
      <c r="H73" s="7" t="s">
        <v>436</v>
      </c>
      <c r="I73" s="252"/>
      <c r="J73" s="252"/>
      <c r="K73" s="38">
        <v>2911255</v>
      </c>
      <c r="L73" s="616" t="s">
        <v>9</v>
      </c>
      <c r="M73" s="616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606">
        <v>1</v>
      </c>
    </row>
    <row r="74" spans="1:27" s="606" customFormat="1" ht="15.75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1365</v>
      </c>
      <c r="G74" s="617" t="s">
        <v>565</v>
      </c>
      <c r="H74" s="7" t="s">
        <v>436</v>
      </c>
      <c r="I74" s="252">
        <v>100</v>
      </c>
      <c r="J74" s="252">
        <v>21766</v>
      </c>
      <c r="K74" s="615">
        <v>2176600</v>
      </c>
      <c r="L74" s="616" t="s">
        <v>169</v>
      </c>
      <c r="M74" s="616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</row>
    <row r="75" spans="1:27" s="606" customFormat="1" ht="15.75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1366</v>
      </c>
      <c r="G75" s="691" t="s">
        <v>565</v>
      </c>
      <c r="H75" s="7" t="s">
        <v>436</v>
      </c>
      <c r="I75" s="252">
        <v>1200</v>
      </c>
      <c r="J75" s="252">
        <v>8768</v>
      </c>
      <c r="K75" s="615">
        <v>10521600</v>
      </c>
      <c r="L75" s="616" t="s">
        <v>169</v>
      </c>
      <c r="M75" s="616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</row>
    <row r="76" spans="1:27" s="606" customFormat="1" ht="15.75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1367</v>
      </c>
      <c r="G76" s="691" t="s">
        <v>565</v>
      </c>
      <c r="H76" s="7" t="s">
        <v>436</v>
      </c>
      <c r="I76" s="252">
        <v>300</v>
      </c>
      <c r="J76" s="252">
        <v>13471</v>
      </c>
      <c r="K76" s="615">
        <v>4041300</v>
      </c>
      <c r="L76" s="616" t="s">
        <v>169</v>
      </c>
      <c r="M76" s="616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27" s="606" customFormat="1" ht="15.75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84">
        <v>40924</v>
      </c>
      <c r="D77" s="184" t="s">
        <v>462</v>
      </c>
      <c r="E77" s="184">
        <v>40924</v>
      </c>
      <c r="F77" s="189" t="s">
        <v>1368</v>
      </c>
      <c r="G77" s="691" t="s">
        <v>565</v>
      </c>
      <c r="H77" s="7" t="s">
        <v>436</v>
      </c>
      <c r="I77" s="252">
        <v>223</v>
      </c>
      <c r="J77" s="252">
        <v>12207</v>
      </c>
      <c r="K77" s="615">
        <v>2722161</v>
      </c>
      <c r="L77" s="616" t="s">
        <v>169</v>
      </c>
      <c r="M77" s="616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/>
    </row>
    <row r="78" spans="1:27" s="606" customFormat="1" ht="15.75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462</v>
      </c>
      <c r="E78" s="184">
        <v>40924</v>
      </c>
      <c r="F78" s="189" t="s">
        <v>1369</v>
      </c>
      <c r="G78" s="691" t="s">
        <v>565</v>
      </c>
      <c r="H78" s="7" t="s">
        <v>436</v>
      </c>
      <c r="I78" s="252">
        <v>272</v>
      </c>
      <c r="J78" s="252">
        <v>13471</v>
      </c>
      <c r="K78" s="615">
        <v>3664112</v>
      </c>
      <c r="L78" s="616" t="s">
        <v>169</v>
      </c>
      <c r="M78" s="616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</row>
    <row r="79" spans="1:27" s="606" customFormat="1" ht="15.75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462</v>
      </c>
      <c r="E79" s="184">
        <v>40924</v>
      </c>
      <c r="F79" s="189" t="s">
        <v>1249</v>
      </c>
      <c r="G79" s="691" t="s">
        <v>565</v>
      </c>
      <c r="H79" s="7" t="s">
        <v>436</v>
      </c>
      <c r="I79" s="252">
        <v>100</v>
      </c>
      <c r="J79" s="252">
        <v>31451</v>
      </c>
      <c r="K79" s="615">
        <v>3145100</v>
      </c>
      <c r="L79" s="616" t="s">
        <v>169</v>
      </c>
      <c r="M79" s="616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27" s="606" customFormat="1" ht="15.75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84">
        <v>40924</v>
      </c>
      <c r="D80" s="184" t="s">
        <v>462</v>
      </c>
      <c r="E80" s="184">
        <v>40924</v>
      </c>
      <c r="F80" s="189" t="s">
        <v>1250</v>
      </c>
      <c r="G80" s="691" t="s">
        <v>565</v>
      </c>
      <c r="H80" s="7" t="s">
        <v>436</v>
      </c>
      <c r="I80" s="252">
        <v>493</v>
      </c>
      <c r="J80" s="252">
        <v>31364</v>
      </c>
      <c r="K80" s="615">
        <v>15462452</v>
      </c>
      <c r="L80" s="616" t="s">
        <v>169</v>
      </c>
      <c r="M80" s="616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462</v>
      </c>
      <c r="E81" s="184">
        <v>40924</v>
      </c>
      <c r="F81" s="189" t="s">
        <v>1251</v>
      </c>
      <c r="G81" s="691" t="s">
        <v>565</v>
      </c>
      <c r="H81" s="7" t="s">
        <v>436</v>
      </c>
      <c r="I81" s="252">
        <v>300</v>
      </c>
      <c r="J81" s="252">
        <v>20255</v>
      </c>
      <c r="K81" s="615">
        <v>6076500</v>
      </c>
      <c r="L81" s="616" t="s">
        <v>169</v>
      </c>
      <c r="M81" s="616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4"/>
        <v>1</v>
      </c>
      <c r="C82" s="191">
        <v>40924</v>
      </c>
      <c r="D82" s="184" t="s">
        <v>462</v>
      </c>
      <c r="E82" s="184">
        <v>40924</v>
      </c>
      <c r="F82" s="192" t="s">
        <v>566</v>
      </c>
      <c r="G82" s="691" t="s">
        <v>565</v>
      </c>
      <c r="H82" s="7" t="s">
        <v>436</v>
      </c>
      <c r="I82" s="252"/>
      <c r="J82" s="252"/>
      <c r="K82" s="38">
        <v>4780983</v>
      </c>
      <c r="L82" s="194" t="s">
        <v>9</v>
      </c>
      <c r="M82" s="616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>
        <v>1</v>
      </c>
      <c r="AB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4"/>
        <v>1</v>
      </c>
      <c r="C83" s="184">
        <v>40924</v>
      </c>
      <c r="D83" s="184" t="s">
        <v>463</v>
      </c>
      <c r="E83" s="184">
        <v>40924</v>
      </c>
      <c r="F83" s="189" t="s">
        <v>1370</v>
      </c>
      <c r="G83" s="691" t="s">
        <v>567</v>
      </c>
      <c r="H83" s="7" t="s">
        <v>436</v>
      </c>
      <c r="I83" s="252">
        <v>395</v>
      </c>
      <c r="J83" s="252">
        <v>14984</v>
      </c>
      <c r="K83" s="615">
        <v>5918680</v>
      </c>
      <c r="L83" s="616" t="s">
        <v>169</v>
      </c>
      <c r="M83" s="616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738"/>
      <c r="AD83" s="738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4"/>
        <v>1</v>
      </c>
      <c r="C84" s="184">
        <v>40924</v>
      </c>
      <c r="D84" s="184" t="s">
        <v>463</v>
      </c>
      <c r="E84" s="184">
        <v>40924</v>
      </c>
      <c r="F84" s="189" t="s">
        <v>1371</v>
      </c>
      <c r="G84" s="691" t="s">
        <v>567</v>
      </c>
      <c r="H84" s="7" t="s">
        <v>436</v>
      </c>
      <c r="I84" s="252">
        <v>983</v>
      </c>
      <c r="J84" s="252">
        <v>20362</v>
      </c>
      <c r="K84" s="615">
        <v>20015846</v>
      </c>
      <c r="L84" s="616" t="s">
        <v>169</v>
      </c>
      <c r="M84" s="616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</row>
    <row r="85" spans="1:30" s="606" customFormat="1" ht="15.75" customHeight="1">
      <c r="A85" s="204" t="str">
        <f>IF(B85&lt;&gt;"",IF(AND(B85&gt;=_TM1,B85&lt;=_TM2,OR(TH!L85="1111",TH!M85="1111")),TH!D85,""),"")</f>
        <v/>
      </c>
      <c r="B85" s="36">
        <f t="shared" si="4"/>
        <v>1</v>
      </c>
      <c r="C85" s="191">
        <v>40924</v>
      </c>
      <c r="D85" s="184" t="s">
        <v>463</v>
      </c>
      <c r="E85" s="184">
        <v>40924</v>
      </c>
      <c r="F85" s="192" t="s">
        <v>1372</v>
      </c>
      <c r="G85" s="691" t="s">
        <v>567</v>
      </c>
      <c r="H85" s="7" t="s">
        <v>436</v>
      </c>
      <c r="I85" s="252">
        <v>116</v>
      </c>
      <c r="J85" s="252">
        <v>22348</v>
      </c>
      <c r="K85" s="38">
        <v>2592368</v>
      </c>
      <c r="L85" s="194" t="s">
        <v>169</v>
      </c>
      <c r="M85" s="616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4"/>
        <v>1</v>
      </c>
      <c r="C86" s="184">
        <v>40924</v>
      </c>
      <c r="D86" s="184" t="s">
        <v>463</v>
      </c>
      <c r="E86" s="184">
        <v>40924</v>
      </c>
      <c r="F86" s="189" t="s">
        <v>1373</v>
      </c>
      <c r="G86" s="691" t="s">
        <v>567</v>
      </c>
      <c r="H86" s="7" t="s">
        <v>436</v>
      </c>
      <c r="I86" s="252">
        <v>1140</v>
      </c>
      <c r="J86" s="252">
        <v>19567</v>
      </c>
      <c r="K86" s="615">
        <v>22306380</v>
      </c>
      <c r="L86" s="616" t="s">
        <v>169</v>
      </c>
      <c r="M86" s="616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1</v>
      </c>
      <c r="C87" s="184">
        <v>40924</v>
      </c>
      <c r="D87" s="184" t="s">
        <v>463</v>
      </c>
      <c r="E87" s="184">
        <v>40924</v>
      </c>
      <c r="F87" s="189" t="s">
        <v>1374</v>
      </c>
      <c r="G87" s="691" t="s">
        <v>567</v>
      </c>
      <c r="H87" s="7" t="s">
        <v>436</v>
      </c>
      <c r="I87" s="252">
        <v>165</v>
      </c>
      <c r="J87" s="252">
        <v>23783</v>
      </c>
      <c r="K87" s="615">
        <v>3924195</v>
      </c>
      <c r="L87" s="616" t="s">
        <v>169</v>
      </c>
      <c r="M87" s="616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7"/>
        <v>1</v>
      </c>
      <c r="C88" s="184">
        <v>40924</v>
      </c>
      <c r="D88" s="184" t="s">
        <v>463</v>
      </c>
      <c r="E88" s="184">
        <v>40924</v>
      </c>
      <c r="F88" s="189" t="s">
        <v>1375</v>
      </c>
      <c r="G88" s="617" t="s">
        <v>567</v>
      </c>
      <c r="H88" s="7" t="s">
        <v>436</v>
      </c>
      <c r="I88" s="252">
        <v>100</v>
      </c>
      <c r="J88" s="252">
        <v>12022</v>
      </c>
      <c r="K88" s="615">
        <v>1202200</v>
      </c>
      <c r="L88" s="616" t="s">
        <v>169</v>
      </c>
      <c r="M88" s="616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463</v>
      </c>
      <c r="E89" s="184">
        <v>40924</v>
      </c>
      <c r="F89" s="189" t="s">
        <v>1252</v>
      </c>
      <c r="G89" s="691" t="s">
        <v>567</v>
      </c>
      <c r="H89" s="7" t="s">
        <v>436</v>
      </c>
      <c r="I89" s="252">
        <v>340</v>
      </c>
      <c r="J89" s="252">
        <v>30158</v>
      </c>
      <c r="K89" s="615">
        <v>10253720</v>
      </c>
      <c r="L89" s="616" t="s">
        <v>169</v>
      </c>
      <c r="M89" s="616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463</v>
      </c>
      <c r="E90" s="184">
        <v>40924</v>
      </c>
      <c r="F90" s="189" t="s">
        <v>1253</v>
      </c>
      <c r="G90" s="691" t="s">
        <v>567</v>
      </c>
      <c r="H90" s="7" t="s">
        <v>436</v>
      </c>
      <c r="I90" s="252">
        <v>100</v>
      </c>
      <c r="J90" s="252">
        <v>22897</v>
      </c>
      <c r="K90" s="615">
        <v>2289700</v>
      </c>
      <c r="L90" s="616" t="s">
        <v>169</v>
      </c>
      <c r="M90" s="616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C90" s="211"/>
      <c r="AD90" s="211"/>
    </row>
    <row r="91" spans="1:30" s="738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463</v>
      </c>
      <c r="E91" s="184">
        <v>40924</v>
      </c>
      <c r="F91" s="189" t="s">
        <v>566</v>
      </c>
      <c r="G91" s="691" t="s">
        <v>567</v>
      </c>
      <c r="H91" s="7" t="s">
        <v>436</v>
      </c>
      <c r="I91" s="252"/>
      <c r="J91" s="252"/>
      <c r="K91" s="615">
        <v>6850309</v>
      </c>
      <c r="L91" s="616" t="s">
        <v>9</v>
      </c>
      <c r="M91" s="616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>
        <v>1</v>
      </c>
      <c r="AB91" s="211"/>
      <c r="AC91" s="211"/>
      <c r="AD91" s="211"/>
    </row>
    <row r="92" spans="1:30" s="606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84">
        <v>40924</v>
      </c>
      <c r="D92" s="184" t="s">
        <v>464</v>
      </c>
      <c r="E92" s="184">
        <v>40924</v>
      </c>
      <c r="F92" s="189" t="s">
        <v>1254</v>
      </c>
      <c r="G92" s="691" t="s">
        <v>568</v>
      </c>
      <c r="H92" s="7" t="s">
        <v>436</v>
      </c>
      <c r="I92" s="252">
        <v>200</v>
      </c>
      <c r="J92" s="252">
        <v>25802</v>
      </c>
      <c r="K92" s="615">
        <v>5160400</v>
      </c>
      <c r="L92" s="616" t="s">
        <v>169</v>
      </c>
      <c r="M92" s="616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C92" s="211"/>
      <c r="AD92" s="211"/>
    </row>
    <row r="93" spans="1:30" s="606" customFormat="1" ht="15.75" customHeight="1">
      <c r="A93" s="204" t="str">
        <f>IF(B93&lt;&gt;"",IF(AND(B93&gt;=_TM1,B93&lt;=_TM2,OR(TH!L93="1111",TH!M93="1111")),TH!D93,""),"")</f>
        <v/>
      </c>
      <c r="B93" s="732">
        <f t="shared" si="7"/>
        <v>1</v>
      </c>
      <c r="C93" s="184">
        <v>40924</v>
      </c>
      <c r="D93" s="184" t="s">
        <v>464</v>
      </c>
      <c r="E93" s="184">
        <v>40924</v>
      </c>
      <c r="F93" s="189" t="s">
        <v>1255</v>
      </c>
      <c r="G93" s="691" t="s">
        <v>568</v>
      </c>
      <c r="H93" s="7" t="s">
        <v>436</v>
      </c>
      <c r="I93" s="252">
        <v>110</v>
      </c>
      <c r="J93" s="252">
        <v>24566</v>
      </c>
      <c r="K93" s="615">
        <v>2702260</v>
      </c>
      <c r="L93" s="616" t="s">
        <v>169</v>
      </c>
      <c r="M93" s="616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38"/>
    </row>
    <row r="94" spans="1:30" s="606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84">
        <v>40924</v>
      </c>
      <c r="D94" s="184" t="s">
        <v>464</v>
      </c>
      <c r="E94" s="184">
        <v>40924</v>
      </c>
      <c r="F94" s="189" t="s">
        <v>1256</v>
      </c>
      <c r="G94" s="691" t="s">
        <v>568</v>
      </c>
      <c r="H94" s="7" t="s">
        <v>436</v>
      </c>
      <c r="I94" s="252">
        <v>10</v>
      </c>
      <c r="J94" s="252">
        <v>19004</v>
      </c>
      <c r="K94" s="615">
        <v>190040</v>
      </c>
      <c r="L94" s="616" t="s">
        <v>169</v>
      </c>
      <c r="M94" s="616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606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84">
        <v>40924</v>
      </c>
      <c r="D95" s="184" t="s">
        <v>464</v>
      </c>
      <c r="E95" s="184">
        <v>40924</v>
      </c>
      <c r="F95" s="189" t="s">
        <v>566</v>
      </c>
      <c r="G95" s="691" t="s">
        <v>568</v>
      </c>
      <c r="H95" s="7" t="s">
        <v>436</v>
      </c>
      <c r="I95" s="252"/>
      <c r="J95" s="252"/>
      <c r="K95" s="615">
        <v>805270</v>
      </c>
      <c r="L95" s="616" t="s">
        <v>9</v>
      </c>
      <c r="M95" s="616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211">
        <v>1</v>
      </c>
      <c r="AB95" s="211"/>
    </row>
    <row r="96" spans="1:30" s="606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84">
        <v>40924</v>
      </c>
      <c r="D96" s="184" t="s">
        <v>413</v>
      </c>
      <c r="E96" s="184">
        <v>40924</v>
      </c>
      <c r="F96" s="189" t="s">
        <v>400</v>
      </c>
      <c r="G96" s="691" t="s">
        <v>568</v>
      </c>
      <c r="H96" s="7" t="s">
        <v>436</v>
      </c>
      <c r="I96" s="252"/>
      <c r="J96" s="252"/>
      <c r="K96" s="615">
        <v>8857970</v>
      </c>
      <c r="L96" s="616" t="s">
        <v>8</v>
      </c>
      <c r="M96" s="616" t="s">
        <v>48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>x</v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ref="C97:C103" si="8">E97</f>
        <v>40924</v>
      </c>
      <c r="D97" s="191" t="s">
        <v>1591</v>
      </c>
      <c r="E97" s="191">
        <v>40924</v>
      </c>
      <c r="F97" s="192" t="s">
        <v>1481</v>
      </c>
      <c r="G97" s="490" t="s">
        <v>931</v>
      </c>
      <c r="H97" s="193" t="s">
        <v>497</v>
      </c>
      <c r="I97" s="252">
        <v>5</v>
      </c>
      <c r="J97" s="252">
        <v>36500</v>
      </c>
      <c r="K97" s="615">
        <f t="shared" ref="K97:K102" si="9">ROUND(I97*J97,0)</f>
        <v>182500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211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1591</v>
      </c>
      <c r="E98" s="191">
        <v>40924</v>
      </c>
      <c r="F98" s="192" t="s">
        <v>1483</v>
      </c>
      <c r="G98" s="490" t="s">
        <v>931</v>
      </c>
      <c r="H98" s="193" t="s">
        <v>497</v>
      </c>
      <c r="I98" s="252">
        <v>1</v>
      </c>
      <c r="J98" s="252">
        <v>18800</v>
      </c>
      <c r="K98" s="615">
        <f t="shared" si="9"/>
        <v>18800</v>
      </c>
      <c r="L98" s="194" t="s">
        <v>284</v>
      </c>
      <c r="M98" s="194" t="s">
        <v>185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</row>
    <row r="99" spans="1:30" s="211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91">
        <f t="shared" si="8"/>
        <v>40924</v>
      </c>
      <c r="D99" s="191" t="s">
        <v>1591</v>
      </c>
      <c r="E99" s="191">
        <v>40924</v>
      </c>
      <c r="F99" s="192" t="s">
        <v>1484</v>
      </c>
      <c r="G99" s="490" t="s">
        <v>931</v>
      </c>
      <c r="H99" s="193" t="s">
        <v>497</v>
      </c>
      <c r="I99" s="252">
        <v>91</v>
      </c>
      <c r="J99" s="252">
        <v>36700</v>
      </c>
      <c r="K99" s="615">
        <f t="shared" si="9"/>
        <v>3339700</v>
      </c>
      <c r="L99" s="194" t="s">
        <v>284</v>
      </c>
      <c r="M99" s="194" t="s">
        <v>185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</row>
    <row r="100" spans="1:30" s="211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91">
        <f t="shared" si="8"/>
        <v>40924</v>
      </c>
      <c r="D100" s="191" t="s">
        <v>1591</v>
      </c>
      <c r="E100" s="191">
        <v>40924</v>
      </c>
      <c r="F100" s="192" t="s">
        <v>1235</v>
      </c>
      <c r="G100" s="490" t="s">
        <v>931</v>
      </c>
      <c r="H100" s="193" t="s">
        <v>497</v>
      </c>
      <c r="I100" s="252">
        <v>210</v>
      </c>
      <c r="J100" s="252">
        <v>29400</v>
      </c>
      <c r="K100" s="615">
        <f t="shared" si="9"/>
        <v>6174000</v>
      </c>
      <c r="L100" s="194" t="s">
        <v>284</v>
      </c>
      <c r="M100" s="194" t="s">
        <v>185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si="8"/>
        <v>40924</v>
      </c>
      <c r="D101" s="191" t="s">
        <v>1591</v>
      </c>
      <c r="E101" s="191">
        <v>40924</v>
      </c>
      <c r="F101" s="192" t="s">
        <v>1236</v>
      </c>
      <c r="G101" s="490" t="s">
        <v>931</v>
      </c>
      <c r="H101" s="193" t="s">
        <v>497</v>
      </c>
      <c r="I101" s="252">
        <v>420</v>
      </c>
      <c r="J101" s="252">
        <v>2300</v>
      </c>
      <c r="K101" s="615">
        <f t="shared" si="9"/>
        <v>966000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8"/>
        <v>40924</v>
      </c>
      <c r="D102" s="191" t="s">
        <v>1591</v>
      </c>
      <c r="E102" s="191">
        <v>40924</v>
      </c>
      <c r="F102" s="192" t="s">
        <v>1485</v>
      </c>
      <c r="G102" s="490" t="s">
        <v>931</v>
      </c>
      <c r="H102" s="193" t="s">
        <v>497</v>
      </c>
      <c r="I102" s="252">
        <v>180</v>
      </c>
      <c r="J102" s="252">
        <v>2900</v>
      </c>
      <c r="K102" s="615">
        <f t="shared" si="9"/>
        <v>522000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8"/>
        <v>40924</v>
      </c>
      <c r="D103" s="191" t="s">
        <v>1591</v>
      </c>
      <c r="E103" s="191">
        <v>40924</v>
      </c>
      <c r="F103" s="192" t="s">
        <v>549</v>
      </c>
      <c r="G103" s="490" t="s">
        <v>931</v>
      </c>
      <c r="H103" s="193" t="s">
        <v>497</v>
      </c>
      <c r="I103" s="252"/>
      <c r="J103" s="252"/>
      <c r="K103" s="615">
        <v>1120300</v>
      </c>
      <c r="L103" s="194" t="s">
        <v>284</v>
      </c>
      <c r="M103" s="194" t="s">
        <v>495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198"/>
      <c r="AB103" s="198"/>
      <c r="AC103" s="198"/>
      <c r="AD103" s="198"/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84">
        <v>40925</v>
      </c>
      <c r="D104" s="184" t="s">
        <v>414</v>
      </c>
      <c r="E104" s="184">
        <v>40925</v>
      </c>
      <c r="F104" s="189" t="s">
        <v>421</v>
      </c>
      <c r="G104" s="691" t="s">
        <v>569</v>
      </c>
      <c r="H104" s="7" t="s">
        <v>570</v>
      </c>
      <c r="I104" s="252"/>
      <c r="J104" s="252"/>
      <c r="K104" s="615">
        <v>522643</v>
      </c>
      <c r="L104" s="616" t="s">
        <v>84</v>
      </c>
      <c r="M104" s="616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84">
        <v>40925</v>
      </c>
      <c r="D105" s="184" t="s">
        <v>414</v>
      </c>
      <c r="E105" s="184">
        <v>40925</v>
      </c>
      <c r="F105" s="189" t="s">
        <v>422</v>
      </c>
      <c r="G105" s="691" t="s">
        <v>569</v>
      </c>
      <c r="H105" s="7" t="s">
        <v>570</v>
      </c>
      <c r="I105" s="252"/>
      <c r="J105" s="252"/>
      <c r="K105" s="615">
        <v>52264</v>
      </c>
      <c r="L105" s="616" t="s">
        <v>9</v>
      </c>
      <c r="M105" s="616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ref="C106:C116" si="10">E106</f>
        <v>40925</v>
      </c>
      <c r="D106" s="191" t="s">
        <v>1592</v>
      </c>
      <c r="E106" s="191">
        <v>40925</v>
      </c>
      <c r="F106" s="192" t="s">
        <v>1496</v>
      </c>
      <c r="G106" s="490" t="s">
        <v>1547</v>
      </c>
      <c r="H106" s="7" t="s">
        <v>496</v>
      </c>
      <c r="I106" s="252">
        <v>90</v>
      </c>
      <c r="J106" s="252">
        <v>14299</v>
      </c>
      <c r="K106" s="615">
        <f t="shared" ref="K106:K115" si="11">ROUND(I106*J106,0)</f>
        <v>1286910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1592</v>
      </c>
      <c r="E107" s="191">
        <v>40925</v>
      </c>
      <c r="F107" s="192" t="s">
        <v>1497</v>
      </c>
      <c r="G107" s="490" t="s">
        <v>1547</v>
      </c>
      <c r="H107" s="7" t="s">
        <v>496</v>
      </c>
      <c r="I107" s="252">
        <v>180</v>
      </c>
      <c r="J107" s="252">
        <v>7146</v>
      </c>
      <c r="K107" s="615">
        <f t="shared" si="11"/>
        <v>1286280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1592</v>
      </c>
      <c r="E108" s="191">
        <v>40925</v>
      </c>
      <c r="F108" s="192" t="s">
        <v>1498</v>
      </c>
      <c r="G108" s="490" t="s">
        <v>1547</v>
      </c>
      <c r="H108" s="7" t="s">
        <v>496</v>
      </c>
      <c r="I108" s="252">
        <v>20</v>
      </c>
      <c r="J108" s="252">
        <v>13172</v>
      </c>
      <c r="K108" s="615">
        <f t="shared" si="11"/>
        <v>263440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1592</v>
      </c>
      <c r="E109" s="191">
        <v>40925</v>
      </c>
      <c r="F109" s="192" t="s">
        <v>1499</v>
      </c>
      <c r="G109" s="490" t="s">
        <v>1547</v>
      </c>
      <c r="H109" s="7" t="s">
        <v>496</v>
      </c>
      <c r="I109" s="252">
        <v>590</v>
      </c>
      <c r="J109" s="252">
        <v>5827</v>
      </c>
      <c r="K109" s="615">
        <f t="shared" si="11"/>
        <v>3437930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1592</v>
      </c>
      <c r="E110" s="191">
        <v>40925</v>
      </c>
      <c r="F110" s="192" t="s">
        <v>1500</v>
      </c>
      <c r="G110" s="490" t="s">
        <v>1547</v>
      </c>
      <c r="H110" s="7" t="s">
        <v>496</v>
      </c>
      <c r="I110" s="252">
        <v>60</v>
      </c>
      <c r="J110" s="252">
        <v>10323</v>
      </c>
      <c r="K110" s="615">
        <f t="shared" si="11"/>
        <v>619380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1592</v>
      </c>
      <c r="E111" s="191">
        <v>40925</v>
      </c>
      <c r="F111" s="192" t="s">
        <v>1501</v>
      </c>
      <c r="G111" s="490" t="s">
        <v>1547</v>
      </c>
      <c r="H111" s="7" t="s">
        <v>496</v>
      </c>
      <c r="I111" s="252">
        <v>150</v>
      </c>
      <c r="J111" s="252">
        <v>8416</v>
      </c>
      <c r="K111" s="615">
        <f t="shared" si="11"/>
        <v>1262400</v>
      </c>
      <c r="L111" s="194" t="s">
        <v>284</v>
      </c>
      <c r="M111" s="194" t="s">
        <v>185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211"/>
      <c r="AC111" s="211"/>
      <c r="AD111" s="211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91">
        <f t="shared" si="10"/>
        <v>40925</v>
      </c>
      <c r="D112" s="191" t="s">
        <v>1592</v>
      </c>
      <c r="E112" s="191">
        <v>40925</v>
      </c>
      <c r="F112" s="192" t="s">
        <v>1502</v>
      </c>
      <c r="G112" s="490" t="s">
        <v>1547</v>
      </c>
      <c r="H112" s="7" t="s">
        <v>496</v>
      </c>
      <c r="I112" s="252">
        <v>218</v>
      </c>
      <c r="J112" s="252">
        <v>9171</v>
      </c>
      <c r="K112" s="615">
        <f t="shared" si="11"/>
        <v>1999278</v>
      </c>
      <c r="L112" s="194" t="s">
        <v>284</v>
      </c>
      <c r="M112" s="194" t="s">
        <v>185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1"/>
      <c r="AB112" s="211"/>
      <c r="AC112" s="211"/>
      <c r="AD112" s="211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f t="shared" si="10"/>
        <v>40925</v>
      </c>
      <c r="D113" s="191" t="s">
        <v>1592</v>
      </c>
      <c r="E113" s="191">
        <v>40925</v>
      </c>
      <c r="F113" s="192" t="s">
        <v>1548</v>
      </c>
      <c r="G113" s="490" t="s">
        <v>1547</v>
      </c>
      <c r="H113" s="7" t="s">
        <v>496</v>
      </c>
      <c r="I113" s="252">
        <v>40</v>
      </c>
      <c r="J113" s="252">
        <v>16005</v>
      </c>
      <c r="K113" s="615">
        <f t="shared" si="11"/>
        <v>640200</v>
      </c>
      <c r="L113" s="194" t="s">
        <v>284</v>
      </c>
      <c r="M113" s="194" t="s">
        <v>185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211"/>
      <c r="AC113" s="211"/>
      <c r="AD113" s="211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si="10"/>
        <v>40925</v>
      </c>
      <c r="D114" s="191" t="s">
        <v>1592</v>
      </c>
      <c r="E114" s="191">
        <v>40925</v>
      </c>
      <c r="F114" s="192" t="s">
        <v>1504</v>
      </c>
      <c r="G114" s="490" t="s">
        <v>1547</v>
      </c>
      <c r="H114" s="7" t="s">
        <v>496</v>
      </c>
      <c r="I114" s="252">
        <v>350</v>
      </c>
      <c r="J114" s="252">
        <v>9650</v>
      </c>
      <c r="K114" s="615">
        <f t="shared" si="11"/>
        <v>3377500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6" customFormat="1" ht="15.75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0"/>
        <v>40925</v>
      </c>
      <c r="D115" s="191" t="s">
        <v>1592</v>
      </c>
      <c r="E115" s="191">
        <v>40925</v>
      </c>
      <c r="F115" s="192" t="s">
        <v>1505</v>
      </c>
      <c r="G115" s="490" t="s">
        <v>1547</v>
      </c>
      <c r="H115" s="7" t="s">
        <v>496</v>
      </c>
      <c r="I115" s="252">
        <v>366</v>
      </c>
      <c r="J115" s="252">
        <v>10655</v>
      </c>
      <c r="K115" s="615">
        <f t="shared" si="11"/>
        <v>3899730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6" customFormat="1" ht="15.75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0"/>
        <v>40925</v>
      </c>
      <c r="D116" s="191" t="s">
        <v>1592</v>
      </c>
      <c r="E116" s="191">
        <v>40925</v>
      </c>
      <c r="F116" s="192" t="s">
        <v>549</v>
      </c>
      <c r="G116" s="490" t="s">
        <v>1547</v>
      </c>
      <c r="H116" s="7" t="s">
        <v>496</v>
      </c>
      <c r="I116" s="252"/>
      <c r="J116" s="252"/>
      <c r="K116" s="615">
        <v>1807305</v>
      </c>
      <c r="L116" s="194" t="s">
        <v>284</v>
      </c>
      <c r="M116" s="194" t="s">
        <v>495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198"/>
      <c r="AB116" s="198"/>
      <c r="AC116" s="198"/>
      <c r="AD116" s="198"/>
    </row>
    <row r="117" spans="1:30" s="606" customFormat="1" ht="15.75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84">
        <v>40926</v>
      </c>
      <c r="D117" s="184" t="s">
        <v>415</v>
      </c>
      <c r="E117" s="184">
        <v>40926</v>
      </c>
      <c r="F117" s="189" t="s">
        <v>571</v>
      </c>
      <c r="G117" s="691" t="s">
        <v>572</v>
      </c>
      <c r="H117" s="7" t="s">
        <v>573</v>
      </c>
      <c r="I117" s="252"/>
      <c r="J117" s="252"/>
      <c r="K117" s="615">
        <v>728658</v>
      </c>
      <c r="L117" s="616" t="s">
        <v>84</v>
      </c>
      <c r="M117" s="616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30" s="606" customFormat="1" ht="15.75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v>40926</v>
      </c>
      <c r="D118" s="184" t="s">
        <v>415</v>
      </c>
      <c r="E118" s="191">
        <v>40926</v>
      </c>
      <c r="F118" s="192" t="s">
        <v>574</v>
      </c>
      <c r="G118" s="488" t="s">
        <v>575</v>
      </c>
      <c r="H118" s="45" t="s">
        <v>573</v>
      </c>
      <c r="I118" s="252"/>
      <c r="J118" s="252"/>
      <c r="K118" s="38">
        <v>72867</v>
      </c>
      <c r="L118" s="194" t="s">
        <v>9</v>
      </c>
      <c r="M118" s="616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606">
        <v>1</v>
      </c>
    </row>
    <row r="119" spans="1:30" s="606" customFormat="1" ht="15.75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ref="C119:C129" si="12">E119</f>
        <v>40926</v>
      </c>
      <c r="D119" s="191" t="s">
        <v>1593</v>
      </c>
      <c r="E119" s="191">
        <v>40926</v>
      </c>
      <c r="F119" s="192" t="s">
        <v>1512</v>
      </c>
      <c r="G119" s="490" t="s">
        <v>1549</v>
      </c>
      <c r="H119" s="7" t="s">
        <v>496</v>
      </c>
      <c r="I119" s="252">
        <v>500</v>
      </c>
      <c r="J119" s="252">
        <v>8502</v>
      </c>
      <c r="K119" s="615">
        <f t="shared" ref="K119:K128" si="13">ROUND(I119*J119,0)</f>
        <v>4251000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6" customFormat="1" ht="15.75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1593</v>
      </c>
      <c r="E120" s="191">
        <v>40926</v>
      </c>
      <c r="F120" s="192" t="s">
        <v>1513</v>
      </c>
      <c r="G120" s="490" t="s">
        <v>1549</v>
      </c>
      <c r="H120" s="7" t="s">
        <v>496</v>
      </c>
      <c r="I120" s="252">
        <v>240</v>
      </c>
      <c r="J120" s="252">
        <v>16790</v>
      </c>
      <c r="K120" s="615">
        <f t="shared" si="13"/>
        <v>4029600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6" customFormat="1" ht="15.75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1593</v>
      </c>
      <c r="E121" s="191">
        <v>40926</v>
      </c>
      <c r="F121" s="192" t="s">
        <v>1514</v>
      </c>
      <c r="G121" s="490" t="s">
        <v>1549</v>
      </c>
      <c r="H121" s="7" t="s">
        <v>496</v>
      </c>
      <c r="I121" s="252">
        <v>170</v>
      </c>
      <c r="J121" s="252">
        <v>12633</v>
      </c>
      <c r="K121" s="615">
        <f t="shared" si="13"/>
        <v>2147610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606" customFormat="1" ht="15.75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1593</v>
      </c>
      <c r="E122" s="191">
        <v>40926</v>
      </c>
      <c r="F122" s="192" t="s">
        <v>1498</v>
      </c>
      <c r="G122" s="490" t="s">
        <v>1549</v>
      </c>
      <c r="H122" s="7" t="s">
        <v>496</v>
      </c>
      <c r="I122" s="252">
        <v>30</v>
      </c>
      <c r="J122" s="252">
        <v>13172</v>
      </c>
      <c r="K122" s="615">
        <f t="shared" si="13"/>
        <v>395160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211"/>
      <c r="AC122" s="211"/>
      <c r="AD122" s="211"/>
    </row>
    <row r="123" spans="1:30" s="606" customFormat="1" ht="15.75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1593</v>
      </c>
      <c r="E123" s="191">
        <v>40926</v>
      </c>
      <c r="F123" s="192" t="s">
        <v>1509</v>
      </c>
      <c r="G123" s="490" t="s">
        <v>1549</v>
      </c>
      <c r="H123" s="7" t="s">
        <v>496</v>
      </c>
      <c r="I123" s="252">
        <v>350</v>
      </c>
      <c r="J123" s="252">
        <v>15688</v>
      </c>
      <c r="K123" s="615">
        <f t="shared" si="13"/>
        <v>5490800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6" customFormat="1" ht="15.75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1593</v>
      </c>
      <c r="E124" s="191">
        <v>40926</v>
      </c>
      <c r="F124" s="192" t="s">
        <v>1550</v>
      </c>
      <c r="G124" s="490" t="s">
        <v>1549</v>
      </c>
      <c r="H124" s="7" t="s">
        <v>496</v>
      </c>
      <c r="I124" s="252">
        <v>20</v>
      </c>
      <c r="J124" s="252">
        <v>18708</v>
      </c>
      <c r="K124" s="615">
        <f t="shared" si="13"/>
        <v>374160</v>
      </c>
      <c r="L124" s="194" t="s">
        <v>284</v>
      </c>
      <c r="M124" s="194" t="s">
        <v>185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1"/>
      <c r="AB124" s="211"/>
      <c r="AC124" s="211"/>
      <c r="AD124" s="211"/>
    </row>
    <row r="125" spans="1:30" s="606" customFormat="1" ht="15.75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f t="shared" si="12"/>
        <v>40926</v>
      </c>
      <c r="D125" s="191" t="s">
        <v>1593</v>
      </c>
      <c r="E125" s="191">
        <v>40926</v>
      </c>
      <c r="F125" s="192" t="s">
        <v>1516</v>
      </c>
      <c r="G125" s="490" t="s">
        <v>1549</v>
      </c>
      <c r="H125" s="7" t="s">
        <v>496</v>
      </c>
      <c r="I125" s="252">
        <v>300</v>
      </c>
      <c r="J125" s="252">
        <v>19723</v>
      </c>
      <c r="K125" s="615">
        <f t="shared" si="13"/>
        <v>5916900</v>
      </c>
      <c r="L125" s="194" t="s">
        <v>284</v>
      </c>
      <c r="M125" s="194" t="s">
        <v>185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  <c r="AC125" s="211"/>
      <c r="AD125" s="211"/>
    </row>
    <row r="126" spans="1:30" s="606" customFormat="1" ht="15.75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191">
        <f t="shared" si="12"/>
        <v>40926</v>
      </c>
      <c r="D126" s="191" t="s">
        <v>1593</v>
      </c>
      <c r="E126" s="191">
        <v>40926</v>
      </c>
      <c r="F126" s="192" t="s">
        <v>1517</v>
      </c>
      <c r="G126" s="490" t="s">
        <v>1549</v>
      </c>
      <c r="H126" s="7" t="s">
        <v>496</v>
      </c>
      <c r="I126" s="252">
        <v>40</v>
      </c>
      <c r="J126" s="252">
        <v>19819</v>
      </c>
      <c r="K126" s="615">
        <f t="shared" si="13"/>
        <v>792760</v>
      </c>
      <c r="L126" s="194" t="s">
        <v>284</v>
      </c>
      <c r="M126" s="194" t="s">
        <v>185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  <c r="AC126" s="211"/>
      <c r="AD126" s="211"/>
    </row>
    <row r="127" spans="1:30" s="211" customFormat="1" ht="15.75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91">
        <f t="shared" si="12"/>
        <v>40926</v>
      </c>
      <c r="D127" s="191" t="s">
        <v>1593</v>
      </c>
      <c r="E127" s="191">
        <v>40926</v>
      </c>
      <c r="F127" s="192" t="s">
        <v>1518</v>
      </c>
      <c r="G127" s="490" t="s">
        <v>1549</v>
      </c>
      <c r="H127" s="7" t="s">
        <v>496</v>
      </c>
      <c r="I127" s="252">
        <v>260</v>
      </c>
      <c r="J127" s="252">
        <v>17916</v>
      </c>
      <c r="K127" s="615">
        <f t="shared" si="13"/>
        <v>4658160</v>
      </c>
      <c r="L127" s="194" t="s">
        <v>284</v>
      </c>
      <c r="M127" s="194" t="s">
        <v>185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30" s="606" customFormat="1" ht="15.75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91">
        <f t="shared" si="12"/>
        <v>40926</v>
      </c>
      <c r="D128" s="191" t="s">
        <v>1593</v>
      </c>
      <c r="E128" s="191">
        <v>40926</v>
      </c>
      <c r="F128" s="192" t="s">
        <v>1519</v>
      </c>
      <c r="G128" s="490" t="s">
        <v>1549</v>
      </c>
      <c r="H128" s="7" t="s">
        <v>496</v>
      </c>
      <c r="I128" s="252">
        <v>75</v>
      </c>
      <c r="J128" s="252">
        <v>17507</v>
      </c>
      <c r="K128" s="615">
        <f t="shared" si="13"/>
        <v>1313025</v>
      </c>
      <c r="L128" s="194" t="s">
        <v>284</v>
      </c>
      <c r="M128" s="194" t="s">
        <v>185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B128" s="211"/>
      <c r="AC128" s="211"/>
      <c r="AD128" s="211"/>
    </row>
    <row r="129" spans="1:30" s="606" customFormat="1" ht="15.75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si="12"/>
        <v>40926</v>
      </c>
      <c r="D129" s="191" t="s">
        <v>1593</v>
      </c>
      <c r="E129" s="191">
        <v>40926</v>
      </c>
      <c r="F129" s="192" t="s">
        <v>549</v>
      </c>
      <c r="G129" s="490" t="s">
        <v>1549</v>
      </c>
      <c r="H129" s="7" t="s">
        <v>496</v>
      </c>
      <c r="I129" s="252"/>
      <c r="J129" s="252"/>
      <c r="K129" s="615">
        <v>2936918</v>
      </c>
      <c r="L129" s="194" t="s">
        <v>284</v>
      </c>
      <c r="M129" s="194" t="s">
        <v>495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198"/>
      <c r="AB129" s="198"/>
      <c r="AC129" s="198"/>
      <c r="AD129" s="198"/>
    </row>
    <row r="130" spans="1:30" s="606" customFormat="1" ht="15.75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v>40927</v>
      </c>
      <c r="D130" s="184" t="s">
        <v>542</v>
      </c>
      <c r="E130" s="191">
        <v>40927</v>
      </c>
      <c r="F130" s="192" t="s">
        <v>559</v>
      </c>
      <c r="G130" s="488" t="s">
        <v>361</v>
      </c>
      <c r="H130" s="45" t="s">
        <v>397</v>
      </c>
      <c r="I130" s="252"/>
      <c r="J130" s="252"/>
      <c r="K130" s="38">
        <v>22870000</v>
      </c>
      <c r="L130" s="194" t="s">
        <v>48</v>
      </c>
      <c r="M130" s="616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211"/>
      <c r="AB130" s="211"/>
    </row>
    <row r="131" spans="1:30" s="606" customFormat="1" ht="15.75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733">
        <v>40928</v>
      </c>
      <c r="D131" s="733" t="s">
        <v>363</v>
      </c>
      <c r="E131" s="733">
        <v>40928</v>
      </c>
      <c r="F131" s="734" t="s">
        <v>398</v>
      </c>
      <c r="G131" s="735" t="s">
        <v>361</v>
      </c>
      <c r="H131" s="873"/>
      <c r="I131" s="250"/>
      <c r="J131" s="250"/>
      <c r="K131" s="736">
        <v>77446</v>
      </c>
      <c r="L131" s="737" t="s">
        <v>24</v>
      </c>
      <c r="M131" s="737" t="s">
        <v>40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211"/>
      <c r="AB131" s="211"/>
    </row>
    <row r="132" spans="1:30" s="606" customFormat="1" ht="15.75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84">
        <v>40938</v>
      </c>
      <c r="D132" s="184" t="s">
        <v>416</v>
      </c>
      <c r="E132" s="184">
        <v>40938</v>
      </c>
      <c r="F132" s="189" t="s">
        <v>576</v>
      </c>
      <c r="G132" s="691" t="s">
        <v>577</v>
      </c>
      <c r="H132" s="7" t="s">
        <v>562</v>
      </c>
      <c r="I132" s="252"/>
      <c r="J132" s="252"/>
      <c r="K132" s="615">
        <v>700000</v>
      </c>
      <c r="L132" s="616" t="s">
        <v>175</v>
      </c>
      <c r="M132" s="616" t="s">
        <v>48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211"/>
      <c r="AB132" s="211"/>
    </row>
    <row r="133" spans="1:30" s="211" customFormat="1" ht="15.75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84">
        <v>40938</v>
      </c>
      <c r="D133" s="184" t="s">
        <v>416</v>
      </c>
      <c r="E133" s="184">
        <v>40938</v>
      </c>
      <c r="F133" s="189" t="s">
        <v>372</v>
      </c>
      <c r="G133" s="691" t="s">
        <v>577</v>
      </c>
      <c r="H133" s="7" t="s">
        <v>562</v>
      </c>
      <c r="I133" s="252"/>
      <c r="J133" s="252"/>
      <c r="K133" s="615">
        <v>70000</v>
      </c>
      <c r="L133" s="616" t="s">
        <v>9</v>
      </c>
      <c r="M133" s="616" t="s">
        <v>48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606">
        <v>2</v>
      </c>
      <c r="AC133" s="606"/>
      <c r="AD133" s="606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ref="C134:C158" si="14">E134</f>
        <v>40938</v>
      </c>
      <c r="D134" s="191" t="s">
        <v>1594</v>
      </c>
      <c r="E134" s="191">
        <v>40938</v>
      </c>
      <c r="F134" s="192" t="s">
        <v>1496</v>
      </c>
      <c r="G134" s="490" t="s">
        <v>1551</v>
      </c>
      <c r="H134" s="7" t="s">
        <v>496</v>
      </c>
      <c r="I134" s="252">
        <v>210</v>
      </c>
      <c r="J134" s="252">
        <v>14299</v>
      </c>
      <c r="K134" s="615">
        <f t="shared" ref="K134:K143" si="15">ROUND(I134*J134,0)</f>
        <v>3002790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1594</v>
      </c>
      <c r="E135" s="191">
        <v>40938</v>
      </c>
      <c r="F135" s="192" t="s">
        <v>1555</v>
      </c>
      <c r="G135" s="490" t="s">
        <v>1551</v>
      </c>
      <c r="H135" s="7" t="s">
        <v>496</v>
      </c>
      <c r="I135" s="252">
        <v>80</v>
      </c>
      <c r="J135" s="252">
        <v>8796</v>
      </c>
      <c r="K135" s="615">
        <f t="shared" si="15"/>
        <v>703680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1594</v>
      </c>
      <c r="E136" s="191">
        <v>40938</v>
      </c>
      <c r="F136" s="192" t="s">
        <v>1526</v>
      </c>
      <c r="G136" s="490" t="s">
        <v>1551</v>
      </c>
      <c r="H136" s="7" t="s">
        <v>496</v>
      </c>
      <c r="I136" s="252">
        <v>210</v>
      </c>
      <c r="J136" s="252">
        <v>17110</v>
      </c>
      <c r="K136" s="615">
        <f t="shared" si="15"/>
        <v>3593100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1594</v>
      </c>
      <c r="E137" s="191">
        <v>40938</v>
      </c>
      <c r="F137" s="192" t="s">
        <v>1522</v>
      </c>
      <c r="G137" s="490" t="s">
        <v>1551</v>
      </c>
      <c r="H137" s="7" t="s">
        <v>496</v>
      </c>
      <c r="I137" s="252">
        <v>230</v>
      </c>
      <c r="J137" s="252">
        <v>18107</v>
      </c>
      <c r="K137" s="615">
        <f t="shared" si="15"/>
        <v>4164610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1594</v>
      </c>
      <c r="E138" s="191">
        <v>40938</v>
      </c>
      <c r="F138" s="192" t="s">
        <v>1516</v>
      </c>
      <c r="G138" s="490" t="s">
        <v>1551</v>
      </c>
      <c r="H138" s="7" t="s">
        <v>496</v>
      </c>
      <c r="I138" s="252">
        <v>310</v>
      </c>
      <c r="J138" s="252">
        <v>19769</v>
      </c>
      <c r="K138" s="615">
        <f t="shared" si="15"/>
        <v>6128390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1594</v>
      </c>
      <c r="E139" s="191">
        <v>40938</v>
      </c>
      <c r="F139" s="192" t="s">
        <v>1524</v>
      </c>
      <c r="G139" s="490" t="s">
        <v>1551</v>
      </c>
      <c r="H139" s="7" t="s">
        <v>496</v>
      </c>
      <c r="I139" s="252">
        <v>370</v>
      </c>
      <c r="J139" s="252">
        <v>20520</v>
      </c>
      <c r="K139" s="615">
        <f t="shared" si="15"/>
        <v>7592400</v>
      </c>
      <c r="L139" s="194" t="s">
        <v>284</v>
      </c>
      <c r="M139" s="194" t="s">
        <v>185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191">
        <f t="shared" si="14"/>
        <v>40938</v>
      </c>
      <c r="D140" s="191" t="s">
        <v>1594</v>
      </c>
      <c r="E140" s="191">
        <v>40938</v>
      </c>
      <c r="F140" s="192" t="s">
        <v>1498</v>
      </c>
      <c r="G140" s="490" t="s">
        <v>1551</v>
      </c>
      <c r="H140" s="7" t="s">
        <v>496</v>
      </c>
      <c r="I140" s="252">
        <v>173</v>
      </c>
      <c r="J140" s="252">
        <v>13172</v>
      </c>
      <c r="K140" s="615">
        <f t="shared" si="15"/>
        <v>2278756</v>
      </c>
      <c r="L140" s="194" t="s">
        <v>284</v>
      </c>
      <c r="M140" s="194" t="s">
        <v>185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21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191">
        <f t="shared" si="14"/>
        <v>40938</v>
      </c>
      <c r="D141" s="191" t="s">
        <v>1594</v>
      </c>
      <c r="E141" s="191">
        <v>40938</v>
      </c>
      <c r="F141" s="192" t="s">
        <v>1509</v>
      </c>
      <c r="G141" s="490" t="s">
        <v>1551</v>
      </c>
      <c r="H141" s="7" t="s">
        <v>496</v>
      </c>
      <c r="I141" s="252">
        <v>150</v>
      </c>
      <c r="J141" s="252">
        <v>15688</v>
      </c>
      <c r="K141" s="615">
        <f t="shared" si="15"/>
        <v>2353200</v>
      </c>
      <c r="L141" s="194" t="s">
        <v>284</v>
      </c>
      <c r="M141" s="194" t="s">
        <v>185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6" customFormat="1" ht="15.75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191">
        <f t="shared" si="14"/>
        <v>40938</v>
      </c>
      <c r="D142" s="191" t="s">
        <v>1594</v>
      </c>
      <c r="E142" s="191">
        <v>40938</v>
      </c>
      <c r="F142" s="192" t="s">
        <v>1519</v>
      </c>
      <c r="G142" s="490" t="s">
        <v>1551</v>
      </c>
      <c r="H142" s="7" t="s">
        <v>496</v>
      </c>
      <c r="I142" s="252">
        <v>210</v>
      </c>
      <c r="J142" s="252">
        <v>17507</v>
      </c>
      <c r="K142" s="615">
        <f t="shared" si="15"/>
        <v>3676470</v>
      </c>
      <c r="L142" s="194" t="s">
        <v>284</v>
      </c>
      <c r="M142" s="194" t="s">
        <v>185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211"/>
      <c r="AC142" s="211"/>
      <c r="AD142" s="211"/>
    </row>
    <row r="143" spans="1:30" s="606" customFormat="1" ht="15.75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40938</v>
      </c>
      <c r="D143" s="191" t="s">
        <v>1594</v>
      </c>
      <c r="E143" s="191">
        <v>40938</v>
      </c>
      <c r="F143" s="192" t="s">
        <v>1516</v>
      </c>
      <c r="G143" s="490" t="s">
        <v>1551</v>
      </c>
      <c r="H143" s="7" t="s">
        <v>496</v>
      </c>
      <c r="I143" s="252">
        <v>250</v>
      </c>
      <c r="J143" s="252">
        <v>19723</v>
      </c>
      <c r="K143" s="615">
        <f t="shared" si="15"/>
        <v>4930750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6" customFormat="1" ht="15.75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40938</v>
      </c>
      <c r="D144" s="191" t="s">
        <v>1594</v>
      </c>
      <c r="E144" s="191">
        <v>40938</v>
      </c>
      <c r="F144" s="192" t="s">
        <v>549</v>
      </c>
      <c r="G144" s="490" t="s">
        <v>1551</v>
      </c>
      <c r="H144" s="7" t="s">
        <v>496</v>
      </c>
      <c r="I144" s="252"/>
      <c r="J144" s="252"/>
      <c r="K144" s="615">
        <v>3842415</v>
      </c>
      <c r="L144" s="194" t="s">
        <v>284</v>
      </c>
      <c r="M144" s="194" t="s">
        <v>495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198"/>
      <c r="AB144" s="198"/>
      <c r="AC144" s="198"/>
      <c r="AD144" s="198"/>
    </row>
    <row r="145" spans="1:30" s="606" customFormat="1" ht="15.75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740">
        <f t="shared" si="14"/>
        <v>40939</v>
      </c>
      <c r="D145" s="740" t="s">
        <v>367</v>
      </c>
      <c r="E145" s="853">
        <v>40939</v>
      </c>
      <c r="F145" s="741" t="s">
        <v>1584</v>
      </c>
      <c r="G145" s="742"/>
      <c r="H145" s="629"/>
      <c r="I145" s="487"/>
      <c r="J145" s="487"/>
      <c r="K145" s="743">
        <v>9325000</v>
      </c>
      <c r="L145" s="744" t="s">
        <v>84</v>
      </c>
      <c r="M145" s="744" t="s">
        <v>287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30" s="606" customFormat="1" ht="15.75" customHeight="1">
      <c r="A146" s="204" t="str">
        <f>IF(B146&lt;&gt;"",IF(AND(B146&gt;=_TM1,B146&lt;=_TM2,OR(TH!L146="1111",TH!M146="1111")),TH!D146,""),"")</f>
        <v/>
      </c>
      <c r="B146" s="36">
        <f t="shared" si="7"/>
        <v>1</v>
      </c>
      <c r="C146" s="740">
        <f t="shared" si="14"/>
        <v>40939</v>
      </c>
      <c r="D146" s="740" t="s">
        <v>367</v>
      </c>
      <c r="E146" s="853">
        <v>40939</v>
      </c>
      <c r="F146" s="741" t="s">
        <v>511</v>
      </c>
      <c r="G146" s="742"/>
      <c r="H146" s="629"/>
      <c r="I146" s="487"/>
      <c r="J146" s="487"/>
      <c r="K146" s="743">
        <v>13450000</v>
      </c>
      <c r="L146" s="744" t="s">
        <v>175</v>
      </c>
      <c r="M146" s="744" t="s">
        <v>287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</row>
    <row r="147" spans="1:30" s="606" customFormat="1" ht="15.75" customHeight="1">
      <c r="A147" s="204" t="str">
        <f>IF(B147&lt;&gt;"",IF(AND(B147&gt;=_TM1,B147&lt;=_TM2,OR(TH!L147="1111",TH!M147="1111")),TH!D147,""),"")</f>
        <v/>
      </c>
      <c r="B147" s="36">
        <f t="shared" si="7"/>
        <v>1</v>
      </c>
      <c r="C147" s="740">
        <f t="shared" si="14"/>
        <v>40939</v>
      </c>
      <c r="D147" s="740" t="s">
        <v>417</v>
      </c>
      <c r="E147" s="853">
        <v>40939</v>
      </c>
      <c r="F147" s="741" t="str">
        <f>"Thanh toán tiền lương tháng "&amp;MONTH(E147)&amp;"/"&amp;YEAR(E147)</f>
        <v>Thanh toán tiền lương tháng 1/2012</v>
      </c>
      <c r="G147" s="742"/>
      <c r="H147" s="45" t="s">
        <v>684</v>
      </c>
      <c r="I147" s="487"/>
      <c r="J147" s="487"/>
      <c r="K147" s="743">
        <f>K145+K146</f>
        <v>22775000</v>
      </c>
      <c r="L147" s="744" t="s">
        <v>287</v>
      </c>
      <c r="M147" s="744" t="s">
        <v>48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>x</v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30" s="606" customFormat="1" ht="15.75" customHeight="1">
      <c r="A148" s="204" t="str">
        <f>IF(B148&lt;&gt;"",IF(AND(B148&gt;=_TM1,B148&lt;=_TM2,OR(TH!L148="1111",TH!M148="1111")),TH!D148,""),"")</f>
        <v/>
      </c>
      <c r="B148" s="36">
        <f t="shared" si="7"/>
        <v>1</v>
      </c>
      <c r="C148" s="191">
        <f t="shared" si="14"/>
        <v>40939</v>
      </c>
      <c r="D148" s="191" t="s">
        <v>1595</v>
      </c>
      <c r="E148" s="191">
        <v>40939</v>
      </c>
      <c r="F148" s="192" t="s">
        <v>1498</v>
      </c>
      <c r="G148" s="490" t="s">
        <v>1552</v>
      </c>
      <c r="H148" s="7" t="s">
        <v>496</v>
      </c>
      <c r="I148" s="252">
        <v>130</v>
      </c>
      <c r="J148" s="252">
        <v>13172</v>
      </c>
      <c r="K148" s="615">
        <f>ROUND(I148*J148,0)</f>
        <v>1712360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6" customFormat="1" ht="15.75" customHeight="1">
      <c r="A149" s="204" t="str">
        <f>IF(B149&lt;&gt;"",IF(AND(B149&gt;=_TM1,B149&lt;=_TM2,OR(TH!L149="1111",TH!M149="1111")),TH!D149,""),"")</f>
        <v/>
      </c>
      <c r="B149" s="36">
        <f t="shared" si="7"/>
        <v>1</v>
      </c>
      <c r="C149" s="191">
        <f t="shared" si="14"/>
        <v>40939</v>
      </c>
      <c r="D149" s="191" t="s">
        <v>1595</v>
      </c>
      <c r="E149" s="191">
        <v>40939</v>
      </c>
      <c r="F149" s="192" t="s">
        <v>1556</v>
      </c>
      <c r="G149" s="490" t="s">
        <v>1552</v>
      </c>
      <c r="H149" s="7" t="s">
        <v>496</v>
      </c>
      <c r="I149" s="252">
        <v>12</v>
      </c>
      <c r="J149" s="252">
        <f>K149/I149</f>
        <v>16300</v>
      </c>
      <c r="K149" s="615">
        <v>195600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6" customFormat="1" ht="15.75" customHeight="1">
      <c r="A150" s="204" t="str">
        <f>IF(B150&lt;&gt;"",IF(AND(B150&gt;=_TM1,B150&lt;=_TM2,OR(TH!L150="1111",TH!M150="1111")),TH!D150,""),"")</f>
        <v/>
      </c>
      <c r="B150" s="36">
        <f t="shared" si="7"/>
        <v>1</v>
      </c>
      <c r="C150" s="191">
        <f t="shared" si="14"/>
        <v>40939</v>
      </c>
      <c r="D150" s="191" t="s">
        <v>1595</v>
      </c>
      <c r="E150" s="191">
        <v>40939</v>
      </c>
      <c r="F150" s="192" t="s">
        <v>1550</v>
      </c>
      <c r="G150" s="490" t="s">
        <v>1552</v>
      </c>
      <c r="H150" s="7" t="s">
        <v>496</v>
      </c>
      <c r="I150" s="252">
        <v>140</v>
      </c>
      <c r="J150" s="252">
        <v>18708</v>
      </c>
      <c r="K150" s="615">
        <f t="shared" ref="K150:K157" si="16">ROUND(I150*J150,0)</f>
        <v>2619120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6" customFormat="1" ht="15.75" customHeight="1">
      <c r="A151" s="204" t="str">
        <f>IF(B151&lt;&gt;"",IF(AND(B151&gt;=_TM1,B151&lt;=_TM2,OR(TH!L151="1111",TH!M151="1111")),TH!D151,""),"")</f>
        <v/>
      </c>
      <c r="B151" s="36">
        <f t="shared" ref="B151:B214" si="17">IF(C151&lt;&gt;"",MONTH(C151),"")</f>
        <v>1</v>
      </c>
      <c r="C151" s="191">
        <f t="shared" si="14"/>
        <v>40939</v>
      </c>
      <c r="D151" s="191" t="s">
        <v>1595</v>
      </c>
      <c r="E151" s="191">
        <v>40939</v>
      </c>
      <c r="F151" s="192" t="s">
        <v>1516</v>
      </c>
      <c r="G151" s="490" t="s">
        <v>1552</v>
      </c>
      <c r="H151" s="7" t="s">
        <v>496</v>
      </c>
      <c r="I151" s="252">
        <v>180</v>
      </c>
      <c r="J151" s="252">
        <v>19723</v>
      </c>
      <c r="K151" s="615">
        <f t="shared" si="16"/>
        <v>3550140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6" customFormat="1" ht="15.75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1595</v>
      </c>
      <c r="E152" s="191">
        <v>40939</v>
      </c>
      <c r="F152" s="192" t="s">
        <v>1517</v>
      </c>
      <c r="G152" s="490" t="s">
        <v>1552</v>
      </c>
      <c r="H152" s="7" t="s">
        <v>496</v>
      </c>
      <c r="I152" s="252">
        <v>310</v>
      </c>
      <c r="J152" s="252">
        <v>19819</v>
      </c>
      <c r="K152" s="615">
        <f t="shared" si="16"/>
        <v>6143890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6" customFormat="1" ht="15.75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1595</v>
      </c>
      <c r="E153" s="191">
        <v>40939</v>
      </c>
      <c r="F153" s="192" t="s">
        <v>1526</v>
      </c>
      <c r="G153" s="490" t="s">
        <v>1552</v>
      </c>
      <c r="H153" s="7" t="s">
        <v>496</v>
      </c>
      <c r="I153" s="252">
        <v>160</v>
      </c>
      <c r="J153" s="252">
        <v>17110</v>
      </c>
      <c r="K153" s="615">
        <f t="shared" si="16"/>
        <v>2737600</v>
      </c>
      <c r="L153" s="194" t="s">
        <v>284</v>
      </c>
      <c r="M153" s="194" t="s">
        <v>185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211"/>
      <c r="AB153" s="211"/>
      <c r="AC153" s="211"/>
      <c r="AD153" s="211"/>
    </row>
    <row r="154" spans="1:30" s="606" customFormat="1" ht="15.75" customHeight="1">
      <c r="A154" s="204" t="str">
        <f>IF(B154&lt;&gt;"",IF(AND(B154&gt;=_TM1,B154&lt;=_TM2,OR(TH!L154="1111",TH!M154="1111")),TH!D154,""),"")</f>
        <v/>
      </c>
      <c r="B154" s="36">
        <f t="shared" si="17"/>
        <v>1</v>
      </c>
      <c r="C154" s="191">
        <f t="shared" si="14"/>
        <v>40939</v>
      </c>
      <c r="D154" s="191" t="s">
        <v>1595</v>
      </c>
      <c r="E154" s="191">
        <v>40939</v>
      </c>
      <c r="F154" s="192" t="s">
        <v>1522</v>
      </c>
      <c r="G154" s="490" t="s">
        <v>1552</v>
      </c>
      <c r="H154" s="7" t="s">
        <v>496</v>
      </c>
      <c r="I154" s="252">
        <v>270</v>
      </c>
      <c r="J154" s="252">
        <v>18107</v>
      </c>
      <c r="K154" s="615">
        <f t="shared" si="16"/>
        <v>4888890</v>
      </c>
      <c r="L154" s="194" t="s">
        <v>284</v>
      </c>
      <c r="M154" s="194" t="s">
        <v>185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  <c r="AC154" s="211"/>
      <c r="AD154" s="211"/>
    </row>
    <row r="155" spans="1:30" s="606" customFormat="1" ht="15.75" customHeight="1">
      <c r="A155" s="204" t="str">
        <f>IF(B155&lt;&gt;"",IF(AND(B155&gt;=_TM1,B155&lt;=_TM2,OR(TH!L155="1111",TH!M155="1111")),TH!D155,""),"")</f>
        <v/>
      </c>
      <c r="B155" s="36">
        <f t="shared" si="17"/>
        <v>1</v>
      </c>
      <c r="C155" s="191">
        <f t="shared" si="14"/>
        <v>40939</v>
      </c>
      <c r="D155" s="191" t="s">
        <v>1595</v>
      </c>
      <c r="E155" s="191">
        <v>40939</v>
      </c>
      <c r="F155" s="192" t="s">
        <v>1516</v>
      </c>
      <c r="G155" s="490" t="s">
        <v>1552</v>
      </c>
      <c r="H155" s="7" t="s">
        <v>496</v>
      </c>
      <c r="I155" s="252">
        <v>151</v>
      </c>
      <c r="J155" s="252">
        <v>19769</v>
      </c>
      <c r="K155" s="615">
        <f t="shared" si="16"/>
        <v>2985119</v>
      </c>
      <c r="L155" s="194" t="s">
        <v>284</v>
      </c>
      <c r="M155" s="194" t="s">
        <v>185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211"/>
      <c r="AB155" s="211"/>
      <c r="AC155" s="211"/>
      <c r="AD155" s="211"/>
    </row>
    <row r="156" spans="1:30" s="606" customFormat="1" ht="15.75" customHeight="1">
      <c r="A156" s="204" t="str">
        <f>IF(B156&lt;&gt;"",IF(AND(B156&gt;=_TM1,B156&lt;=_TM2,OR(TH!L156="1111",TH!M156="1111")),TH!D156,""),"")</f>
        <v/>
      </c>
      <c r="B156" s="36">
        <f t="shared" si="17"/>
        <v>1</v>
      </c>
      <c r="C156" s="191">
        <f t="shared" si="14"/>
        <v>40939</v>
      </c>
      <c r="D156" s="191" t="s">
        <v>1595</v>
      </c>
      <c r="E156" s="191">
        <v>40939</v>
      </c>
      <c r="F156" s="192" t="s">
        <v>1524</v>
      </c>
      <c r="G156" s="490" t="s">
        <v>1552</v>
      </c>
      <c r="H156" s="7" t="s">
        <v>496</v>
      </c>
      <c r="I156" s="252">
        <v>60</v>
      </c>
      <c r="J156" s="252">
        <v>20520</v>
      </c>
      <c r="K156" s="615">
        <f t="shared" si="16"/>
        <v>1231200</v>
      </c>
      <c r="L156" s="194" t="s">
        <v>284</v>
      </c>
      <c r="M156" s="194" t="s">
        <v>185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  <c r="AC156" s="211"/>
      <c r="AD156" s="211"/>
    </row>
    <row r="157" spans="1:30" s="606" customFormat="1" ht="15.75" customHeight="1">
      <c r="A157" s="204" t="str">
        <f>IF(B157&lt;&gt;"",IF(AND(B157&gt;=_TM1,B157&lt;=_TM2,OR(TH!L157="1111",TH!M157="1111")),TH!D157,""),"")</f>
        <v/>
      </c>
      <c r="B157" s="36">
        <f t="shared" si="17"/>
        <v>1</v>
      </c>
      <c r="C157" s="191">
        <f t="shared" si="14"/>
        <v>40939</v>
      </c>
      <c r="D157" s="191" t="s">
        <v>1595</v>
      </c>
      <c r="E157" s="191">
        <v>40939</v>
      </c>
      <c r="F157" s="192" t="s">
        <v>1498</v>
      </c>
      <c r="G157" s="490" t="s">
        <v>1552</v>
      </c>
      <c r="H157" s="7" t="s">
        <v>496</v>
      </c>
      <c r="I157" s="252">
        <v>150</v>
      </c>
      <c r="J157" s="252">
        <v>13172</v>
      </c>
      <c r="K157" s="615">
        <f t="shared" si="16"/>
        <v>1975800</v>
      </c>
      <c r="L157" s="194" t="s">
        <v>284</v>
      </c>
      <c r="M157" s="194" t="s">
        <v>185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  <c r="AC157" s="211"/>
      <c r="AD157" s="211"/>
    </row>
    <row r="158" spans="1:30" s="606" customFormat="1" ht="15.75" customHeight="1">
      <c r="A158" s="204" t="str">
        <f>IF(B158&lt;&gt;"",IF(AND(B158&gt;=_TM1,B158&lt;=_TM2,OR(TH!L158="1111",TH!M158="1111")),TH!D158,""),"")</f>
        <v/>
      </c>
      <c r="B158" s="36">
        <f t="shared" si="17"/>
        <v>1</v>
      </c>
      <c r="C158" s="191">
        <f t="shared" si="14"/>
        <v>40939</v>
      </c>
      <c r="D158" s="191" t="s">
        <v>1595</v>
      </c>
      <c r="E158" s="191">
        <v>40939</v>
      </c>
      <c r="F158" s="192" t="s">
        <v>549</v>
      </c>
      <c r="G158" s="490" t="s">
        <v>1552</v>
      </c>
      <c r="H158" s="7" t="s">
        <v>496</v>
      </c>
      <c r="I158" s="252"/>
      <c r="J158" s="252"/>
      <c r="K158" s="615">
        <v>2803972</v>
      </c>
      <c r="L158" s="194" t="s">
        <v>284</v>
      </c>
      <c r="M158" s="194" t="s">
        <v>495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198"/>
      <c r="AB158" s="198"/>
      <c r="AC158" s="198"/>
      <c r="AD158" s="198"/>
    </row>
    <row r="159" spans="1:30" s="606" customFormat="1" ht="15.75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84">
        <v>40940</v>
      </c>
      <c r="D159" s="184" t="s">
        <v>418</v>
      </c>
      <c r="E159" s="184">
        <v>40940</v>
      </c>
      <c r="F159" s="189" t="s">
        <v>578</v>
      </c>
      <c r="G159" s="617" t="s">
        <v>407</v>
      </c>
      <c r="H159" s="193" t="s">
        <v>579</v>
      </c>
      <c r="I159" s="252"/>
      <c r="J159" s="252"/>
      <c r="K159" s="615">
        <v>4700000</v>
      </c>
      <c r="L159" s="616" t="s">
        <v>84</v>
      </c>
      <c r="M159" s="616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6" customFormat="1" ht="15.75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40940</v>
      </c>
      <c r="D160" s="184" t="s">
        <v>418</v>
      </c>
      <c r="E160" s="191">
        <v>40940</v>
      </c>
      <c r="F160" s="189" t="s">
        <v>580</v>
      </c>
      <c r="G160" s="488" t="s">
        <v>407</v>
      </c>
      <c r="H160" s="7" t="s">
        <v>579</v>
      </c>
      <c r="I160" s="255"/>
      <c r="J160" s="252"/>
      <c r="K160" s="615">
        <v>470000</v>
      </c>
      <c r="L160" s="194" t="s">
        <v>9</v>
      </c>
      <c r="M160" s="616" t="s">
        <v>48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606">
        <v>2</v>
      </c>
      <c r="AB160" s="211"/>
    </row>
    <row r="161" spans="1:30" s="606" customFormat="1" ht="15.75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40941</v>
      </c>
      <c r="D161" s="184" t="s">
        <v>363</v>
      </c>
      <c r="E161" s="191">
        <v>40941</v>
      </c>
      <c r="F161" s="189" t="s">
        <v>365</v>
      </c>
      <c r="G161" s="488" t="s">
        <v>361</v>
      </c>
      <c r="H161" s="7" t="s">
        <v>499</v>
      </c>
      <c r="I161" s="252"/>
      <c r="J161" s="255"/>
      <c r="K161" s="615">
        <v>18632856</v>
      </c>
      <c r="L161" s="194" t="s">
        <v>24</v>
      </c>
      <c r="M161" s="616" t="s">
        <v>284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>x</v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211"/>
      <c r="AB161" s="211"/>
    </row>
    <row r="162" spans="1:30" s="606" customFormat="1" ht="15.75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40941</v>
      </c>
      <c r="D162" s="184" t="s">
        <v>458</v>
      </c>
      <c r="E162" s="191">
        <v>40941</v>
      </c>
      <c r="F162" s="189" t="s">
        <v>370</v>
      </c>
      <c r="G162" s="488" t="s">
        <v>585</v>
      </c>
      <c r="H162" s="7" t="s">
        <v>406</v>
      </c>
      <c r="I162" s="252">
        <v>48</v>
      </c>
      <c r="J162" s="255">
        <v>42000</v>
      </c>
      <c r="K162" s="38">
        <v>2016000</v>
      </c>
      <c r="L162" s="194" t="s">
        <v>171</v>
      </c>
      <c r="M162" s="61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  <c r="AB162" s="211"/>
    </row>
    <row r="163" spans="1:30" s="606" customFormat="1" ht="15.75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v>40941</v>
      </c>
      <c r="D163" s="184" t="s">
        <v>458</v>
      </c>
      <c r="E163" s="191">
        <v>40941</v>
      </c>
      <c r="F163" s="189" t="s">
        <v>371</v>
      </c>
      <c r="G163" s="488" t="s">
        <v>585</v>
      </c>
      <c r="H163" s="7" t="s">
        <v>406</v>
      </c>
      <c r="I163" s="252"/>
      <c r="J163" s="255"/>
      <c r="K163" s="615">
        <v>201600</v>
      </c>
      <c r="L163" s="194" t="s">
        <v>9</v>
      </c>
      <c r="M163" s="61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606">
        <v>2</v>
      </c>
      <c r="AB163" s="211"/>
    </row>
    <row r="164" spans="1:30" s="606" customFormat="1" ht="15.75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v>40941</v>
      </c>
      <c r="D164" s="184" t="s">
        <v>437</v>
      </c>
      <c r="E164" s="191">
        <v>40941</v>
      </c>
      <c r="F164" s="189" t="s">
        <v>400</v>
      </c>
      <c r="G164" s="488" t="s">
        <v>585</v>
      </c>
      <c r="H164" s="7" t="s">
        <v>406</v>
      </c>
      <c r="I164" s="252"/>
      <c r="J164" s="255"/>
      <c r="K164" s="615">
        <v>2217600</v>
      </c>
      <c r="L164" s="616" t="s">
        <v>8</v>
      </c>
      <c r="M164" s="616" t="s">
        <v>48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</row>
    <row r="165" spans="1:30" s="606" customFormat="1" ht="15.75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v>40942</v>
      </c>
      <c r="D165" s="184" t="s">
        <v>364</v>
      </c>
      <c r="E165" s="191">
        <v>40942</v>
      </c>
      <c r="F165" s="189" t="s">
        <v>400</v>
      </c>
      <c r="G165" s="488" t="s">
        <v>361</v>
      </c>
      <c r="H165" s="7" t="s">
        <v>436</v>
      </c>
      <c r="I165" s="252"/>
      <c r="J165" s="255"/>
      <c r="K165" s="38">
        <v>18600000</v>
      </c>
      <c r="L165" s="616" t="s">
        <v>8</v>
      </c>
      <c r="M165" s="616" t="s">
        <v>24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</row>
    <row r="166" spans="1:30" s="606" customFormat="1" ht="15.75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v>40945</v>
      </c>
      <c r="D166" s="184" t="s">
        <v>438</v>
      </c>
      <c r="E166" s="191">
        <v>40945</v>
      </c>
      <c r="F166" s="189" t="s">
        <v>586</v>
      </c>
      <c r="G166" s="488" t="s">
        <v>587</v>
      </c>
      <c r="H166" s="7" t="s">
        <v>562</v>
      </c>
      <c r="I166" s="252"/>
      <c r="J166" s="255"/>
      <c r="K166" s="615">
        <v>960000</v>
      </c>
      <c r="L166" s="194" t="s">
        <v>175</v>
      </c>
      <c r="M166" s="616" t="s">
        <v>48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</row>
    <row r="167" spans="1:30" s="606" customFormat="1" ht="15.75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v>40945</v>
      </c>
      <c r="D167" s="184" t="s">
        <v>438</v>
      </c>
      <c r="E167" s="191">
        <v>40945</v>
      </c>
      <c r="F167" s="189" t="s">
        <v>372</v>
      </c>
      <c r="G167" s="488" t="s">
        <v>587</v>
      </c>
      <c r="H167" s="7" t="s">
        <v>562</v>
      </c>
      <c r="I167" s="252"/>
      <c r="J167" s="255"/>
      <c r="K167" s="615">
        <v>96000</v>
      </c>
      <c r="L167" s="194" t="s">
        <v>9</v>
      </c>
      <c r="M167" s="616" t="s">
        <v>48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606">
        <v>2</v>
      </c>
      <c r="AB167" s="211"/>
    </row>
    <row r="168" spans="1:30" s="606" customFormat="1" ht="15.75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ref="C168:C173" si="18">E168</f>
        <v>40946</v>
      </c>
      <c r="D168" s="191" t="s">
        <v>1596</v>
      </c>
      <c r="E168" s="191">
        <v>40946</v>
      </c>
      <c r="F168" s="192" t="s">
        <v>1234</v>
      </c>
      <c r="G168" s="490" t="s">
        <v>932</v>
      </c>
      <c r="H168" s="193" t="s">
        <v>596</v>
      </c>
      <c r="I168" s="252">
        <v>600</v>
      </c>
      <c r="J168" s="252">
        <v>20730</v>
      </c>
      <c r="K168" s="615">
        <f>ROUND(I168*J168,0)</f>
        <v>12438000</v>
      </c>
      <c r="L168" s="194" t="s">
        <v>284</v>
      </c>
      <c r="M168" s="194" t="s">
        <v>185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f t="shared" si="18"/>
        <v>40946</v>
      </c>
      <c r="D169" s="191" t="s">
        <v>1596</v>
      </c>
      <c r="E169" s="191">
        <v>40946</v>
      </c>
      <c r="F169" s="192" t="s">
        <v>1206</v>
      </c>
      <c r="G169" s="490" t="s">
        <v>932</v>
      </c>
      <c r="H169" s="193" t="s">
        <v>596</v>
      </c>
      <c r="I169" s="252">
        <v>200</v>
      </c>
      <c r="J169" s="252">
        <v>15720</v>
      </c>
      <c r="K169" s="615">
        <f>ROUND(I169*J169,0)</f>
        <v>3144000</v>
      </c>
      <c r="L169" s="194" t="s">
        <v>284</v>
      </c>
      <c r="M169" s="194" t="s">
        <v>185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211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f t="shared" si="18"/>
        <v>40946</v>
      </c>
      <c r="D170" s="191" t="s">
        <v>1596</v>
      </c>
      <c r="E170" s="191">
        <v>40946</v>
      </c>
      <c r="F170" s="192" t="s">
        <v>1233</v>
      </c>
      <c r="G170" s="490" t="s">
        <v>932</v>
      </c>
      <c r="H170" s="193" t="s">
        <v>596</v>
      </c>
      <c r="I170" s="252">
        <v>300</v>
      </c>
      <c r="J170" s="252">
        <v>23900</v>
      </c>
      <c r="K170" s="615">
        <f>ROUND(I170*J170,0)</f>
        <v>7170000</v>
      </c>
      <c r="L170" s="194" t="s">
        <v>284</v>
      </c>
      <c r="M170" s="194" t="s">
        <v>185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f t="shared" si="18"/>
        <v>40946</v>
      </c>
      <c r="D171" s="191" t="s">
        <v>1596</v>
      </c>
      <c r="E171" s="191">
        <v>40946</v>
      </c>
      <c r="F171" s="192" t="s">
        <v>933</v>
      </c>
      <c r="G171" s="490" t="s">
        <v>932</v>
      </c>
      <c r="H171" s="193" t="s">
        <v>596</v>
      </c>
      <c r="I171" s="252">
        <v>900</v>
      </c>
      <c r="J171" s="252">
        <v>1653</v>
      </c>
      <c r="K171" s="615">
        <f>ROUND(I171*J171,0)</f>
        <v>1487700</v>
      </c>
      <c r="L171" s="194" t="s">
        <v>284</v>
      </c>
      <c r="M171" s="194" t="s">
        <v>185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211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f t="shared" si="18"/>
        <v>40946</v>
      </c>
      <c r="D172" s="191" t="s">
        <v>1596</v>
      </c>
      <c r="E172" s="191">
        <v>40946</v>
      </c>
      <c r="F172" s="192" t="s">
        <v>934</v>
      </c>
      <c r="G172" s="490" t="s">
        <v>932</v>
      </c>
      <c r="H172" s="193" t="s">
        <v>596</v>
      </c>
      <c r="I172" s="252">
        <v>900</v>
      </c>
      <c r="J172" s="252">
        <v>1633</v>
      </c>
      <c r="K172" s="615">
        <f>ROUND(I172*J172,0)</f>
        <v>1469700</v>
      </c>
      <c r="L172" s="194" t="s">
        <v>284</v>
      </c>
      <c r="M172" s="194" t="s">
        <v>185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211"/>
      <c r="AB172" s="211"/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f t="shared" si="18"/>
        <v>40946</v>
      </c>
      <c r="D173" s="191" t="s">
        <v>1596</v>
      </c>
      <c r="E173" s="191">
        <v>40946</v>
      </c>
      <c r="F173" s="192" t="s">
        <v>549</v>
      </c>
      <c r="G173" s="490" t="s">
        <v>932</v>
      </c>
      <c r="H173" s="193" t="s">
        <v>596</v>
      </c>
      <c r="I173" s="252"/>
      <c r="J173" s="252"/>
      <c r="K173" s="615">
        <v>2570940</v>
      </c>
      <c r="L173" s="194" t="s">
        <v>284</v>
      </c>
      <c r="M173" s="194" t="s">
        <v>495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91">
        <v>40949</v>
      </c>
      <c r="D174" s="184" t="s">
        <v>439</v>
      </c>
      <c r="E174" s="191">
        <v>40949</v>
      </c>
      <c r="F174" s="189" t="s">
        <v>421</v>
      </c>
      <c r="G174" s="488" t="s">
        <v>588</v>
      </c>
      <c r="H174" s="7" t="s">
        <v>570</v>
      </c>
      <c r="I174" s="254"/>
      <c r="J174" s="255"/>
      <c r="K174" s="615">
        <v>267520</v>
      </c>
      <c r="L174" s="194" t="s">
        <v>84</v>
      </c>
      <c r="M174" s="616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606"/>
      <c r="AB174" s="606"/>
      <c r="AC174" s="606"/>
      <c r="AD174" s="606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91">
        <v>40952</v>
      </c>
      <c r="D175" s="184" t="s">
        <v>441</v>
      </c>
      <c r="E175" s="191">
        <v>40952</v>
      </c>
      <c r="F175" s="189" t="s">
        <v>589</v>
      </c>
      <c r="G175" s="488" t="s">
        <v>590</v>
      </c>
      <c r="H175" s="7" t="s">
        <v>591</v>
      </c>
      <c r="I175" s="252"/>
      <c r="J175" s="255"/>
      <c r="K175" s="615">
        <v>332504</v>
      </c>
      <c r="L175" s="194" t="s">
        <v>84</v>
      </c>
      <c r="M175" s="616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  <c r="AB175" s="211"/>
      <c r="AC175" s="211"/>
      <c r="AD175" s="211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v>40952</v>
      </c>
      <c r="D176" s="184" t="s">
        <v>441</v>
      </c>
      <c r="E176" s="191">
        <v>40952</v>
      </c>
      <c r="F176" s="189" t="s">
        <v>592</v>
      </c>
      <c r="G176" s="488" t="s">
        <v>590</v>
      </c>
      <c r="H176" s="7" t="s">
        <v>591</v>
      </c>
      <c r="I176" s="255"/>
      <c r="J176" s="255"/>
      <c r="K176" s="38">
        <v>33249</v>
      </c>
      <c r="L176" s="194" t="s">
        <v>9</v>
      </c>
      <c r="M176" s="616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606">
        <v>2</v>
      </c>
      <c r="AB176" s="211"/>
      <c r="AC176" s="606"/>
      <c r="AD176" s="606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v>40953</v>
      </c>
      <c r="D177" s="184" t="s">
        <v>442</v>
      </c>
      <c r="E177" s="191">
        <v>40953</v>
      </c>
      <c r="F177" s="192" t="s">
        <v>419</v>
      </c>
      <c r="G177" s="488" t="s">
        <v>593</v>
      </c>
      <c r="H177" s="45" t="s">
        <v>594</v>
      </c>
      <c r="I177" s="252"/>
      <c r="J177" s="252"/>
      <c r="K177" s="615">
        <v>2000000</v>
      </c>
      <c r="L177" s="194" t="s">
        <v>64</v>
      </c>
      <c r="M177" s="616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606"/>
      <c r="AB177" s="606"/>
      <c r="AC177" s="606"/>
      <c r="AD177" s="606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v>40953</v>
      </c>
      <c r="D178" s="184" t="s">
        <v>442</v>
      </c>
      <c r="E178" s="191">
        <v>40953</v>
      </c>
      <c r="F178" s="192" t="s">
        <v>420</v>
      </c>
      <c r="G178" s="488" t="s">
        <v>593</v>
      </c>
      <c r="H178" s="45"/>
      <c r="I178" s="252"/>
      <c r="J178" s="252"/>
      <c r="K178" s="38">
        <v>2000000</v>
      </c>
      <c r="L178" s="194" t="s">
        <v>84</v>
      </c>
      <c r="M178" s="616" t="s">
        <v>64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211"/>
      <c r="AB178" s="211"/>
      <c r="AC178" s="606"/>
      <c r="AD178" s="606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84">
        <v>40953</v>
      </c>
      <c r="D179" s="184" t="s">
        <v>443</v>
      </c>
      <c r="E179" s="184">
        <v>40953</v>
      </c>
      <c r="F179" s="189" t="s">
        <v>586</v>
      </c>
      <c r="G179" s="617" t="s">
        <v>595</v>
      </c>
      <c r="H179" s="193" t="s">
        <v>562</v>
      </c>
      <c r="I179" s="252"/>
      <c r="J179" s="252"/>
      <c r="K179" s="615">
        <v>1020000</v>
      </c>
      <c r="L179" s="616" t="s">
        <v>175</v>
      </c>
      <c r="M179" s="616" t="s">
        <v>48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606"/>
      <c r="AD179" s="606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84">
        <v>40953</v>
      </c>
      <c r="D180" s="184" t="s">
        <v>443</v>
      </c>
      <c r="E180" s="184">
        <v>40953</v>
      </c>
      <c r="F180" s="189" t="s">
        <v>372</v>
      </c>
      <c r="G180" s="617" t="s">
        <v>595</v>
      </c>
      <c r="H180" s="7" t="s">
        <v>562</v>
      </c>
      <c r="I180" s="252"/>
      <c r="J180" s="252"/>
      <c r="K180" s="615">
        <v>102000</v>
      </c>
      <c r="L180" s="616" t="s">
        <v>9</v>
      </c>
      <c r="M180" s="616" t="s">
        <v>48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606">
        <v>2</v>
      </c>
      <c r="AB180" s="606"/>
      <c r="AC180" s="606"/>
      <c r="AD180" s="606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91">
        <f>E181</f>
        <v>40953</v>
      </c>
      <c r="D181" s="191" t="s">
        <v>1597</v>
      </c>
      <c r="E181" s="191">
        <v>40953</v>
      </c>
      <c r="F181" s="192" t="s">
        <v>935</v>
      </c>
      <c r="G181" s="490" t="s">
        <v>936</v>
      </c>
      <c r="H181" s="7" t="s">
        <v>499</v>
      </c>
      <c r="I181" s="252">
        <v>498</v>
      </c>
      <c r="J181" s="252">
        <v>7600</v>
      </c>
      <c r="K181" s="615">
        <f>ROUND(I181*J181,0)</f>
        <v>3784800</v>
      </c>
      <c r="L181" s="194" t="s">
        <v>284</v>
      </c>
      <c r="M181" s="194" t="s">
        <v>185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91">
        <f>E182</f>
        <v>40953</v>
      </c>
      <c r="D182" s="191" t="s">
        <v>1597</v>
      </c>
      <c r="E182" s="191">
        <v>40953</v>
      </c>
      <c r="F182" s="192" t="s">
        <v>549</v>
      </c>
      <c r="G182" s="490" t="s">
        <v>936</v>
      </c>
      <c r="H182" s="7" t="s">
        <v>499</v>
      </c>
      <c r="I182" s="252"/>
      <c r="J182" s="252"/>
      <c r="K182" s="615">
        <v>378480</v>
      </c>
      <c r="L182" s="194" t="s">
        <v>284</v>
      </c>
      <c r="M182" s="194" t="s">
        <v>495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f>E183</f>
        <v>40953</v>
      </c>
      <c r="D183" s="191" t="s">
        <v>1640</v>
      </c>
      <c r="E183" s="191">
        <v>40953</v>
      </c>
      <c r="F183" s="192" t="s">
        <v>365</v>
      </c>
      <c r="G183" s="490" t="s">
        <v>936</v>
      </c>
      <c r="H183" s="7" t="s">
        <v>499</v>
      </c>
      <c r="I183" s="252"/>
      <c r="J183" s="252"/>
      <c r="K183" s="615">
        <v>4163280</v>
      </c>
      <c r="L183" s="194" t="s">
        <v>48</v>
      </c>
      <c r="M183" s="194" t="s">
        <v>284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>x</v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f>E184</f>
        <v>40953</v>
      </c>
      <c r="D184" s="191" t="s">
        <v>1598</v>
      </c>
      <c r="E184" s="191">
        <v>40953</v>
      </c>
      <c r="F184" s="192" t="s">
        <v>1157</v>
      </c>
      <c r="G184" s="490" t="s">
        <v>1553</v>
      </c>
      <c r="H184" s="7" t="s">
        <v>500</v>
      </c>
      <c r="I184" s="252">
        <v>850</v>
      </c>
      <c r="J184" s="252">
        <v>10900</v>
      </c>
      <c r="K184" s="615">
        <f>ROUND(I184*J184,0)</f>
        <v>9265000</v>
      </c>
      <c r="L184" s="194" t="s">
        <v>284</v>
      </c>
      <c r="M184" s="194" t="s">
        <v>185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211"/>
      <c r="AC184" s="211"/>
      <c r="AD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f>E185</f>
        <v>40953</v>
      </c>
      <c r="D185" s="191" t="s">
        <v>1598</v>
      </c>
      <c r="E185" s="191">
        <v>40953</v>
      </c>
      <c r="F185" s="192" t="s">
        <v>555</v>
      </c>
      <c r="G185" s="490" t="s">
        <v>1553</v>
      </c>
      <c r="H185" s="7" t="s">
        <v>500</v>
      </c>
      <c r="I185" s="252"/>
      <c r="J185" s="252"/>
      <c r="K185" s="615">
        <v>926500</v>
      </c>
      <c r="L185" s="194" t="s">
        <v>284</v>
      </c>
      <c r="M185" s="194" t="s">
        <v>495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84">
        <v>40954</v>
      </c>
      <c r="D186" s="184" t="s">
        <v>363</v>
      </c>
      <c r="E186" s="184">
        <v>40954</v>
      </c>
      <c r="F186" s="189" t="s">
        <v>365</v>
      </c>
      <c r="G186" s="617" t="s">
        <v>361</v>
      </c>
      <c r="H186" s="7" t="s">
        <v>497</v>
      </c>
      <c r="I186" s="252"/>
      <c r="J186" s="252"/>
      <c r="K186" s="615">
        <v>14752000</v>
      </c>
      <c r="L186" s="616" t="s">
        <v>24</v>
      </c>
      <c r="M186" s="616" t="s">
        <v>284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211"/>
      <c r="AD186" s="211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84">
        <v>40954</v>
      </c>
      <c r="D187" s="184" t="s">
        <v>363</v>
      </c>
      <c r="E187" s="184">
        <v>40954</v>
      </c>
      <c r="F187" s="189" t="s">
        <v>365</v>
      </c>
      <c r="G187" s="617" t="s">
        <v>361</v>
      </c>
      <c r="H187" s="7" t="s">
        <v>496</v>
      </c>
      <c r="I187" s="252"/>
      <c r="J187" s="252"/>
      <c r="K187" s="615">
        <v>125296698</v>
      </c>
      <c r="L187" s="616" t="s">
        <v>24</v>
      </c>
      <c r="M187" s="616" t="s">
        <v>284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>x</v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211"/>
      <c r="AD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363</v>
      </c>
      <c r="E188" s="191">
        <v>40955</v>
      </c>
      <c r="F188" s="189" t="s">
        <v>365</v>
      </c>
      <c r="G188" s="490" t="s">
        <v>361</v>
      </c>
      <c r="H188" s="193" t="s">
        <v>596</v>
      </c>
      <c r="I188" s="252"/>
      <c r="J188" s="255"/>
      <c r="K188" s="615">
        <v>28280340</v>
      </c>
      <c r="L188" s="194" t="s">
        <v>24</v>
      </c>
      <c r="M188" s="616" t="s">
        <v>284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211"/>
      <c r="AD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1641</v>
      </c>
      <c r="E189" s="191">
        <v>40955</v>
      </c>
      <c r="F189" s="189" t="s">
        <v>559</v>
      </c>
      <c r="G189" s="490" t="s">
        <v>361</v>
      </c>
      <c r="H189" s="7" t="s">
        <v>397</v>
      </c>
      <c r="I189" s="252"/>
      <c r="J189" s="255"/>
      <c r="K189" s="615">
        <v>40000000</v>
      </c>
      <c r="L189" s="194" t="s">
        <v>48</v>
      </c>
      <c r="M189" s="616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>x</v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6"/>
      <c r="AB189" s="211"/>
      <c r="AC189" s="211"/>
      <c r="AD189" s="211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364</v>
      </c>
      <c r="E190" s="191">
        <v>40955</v>
      </c>
      <c r="F190" s="189" t="s">
        <v>400</v>
      </c>
      <c r="G190" s="490" t="s">
        <v>361</v>
      </c>
      <c r="H190" s="7" t="s">
        <v>436</v>
      </c>
      <c r="I190" s="252"/>
      <c r="J190" s="255"/>
      <c r="K190" s="615">
        <v>100000000</v>
      </c>
      <c r="L190" s="616" t="s">
        <v>57</v>
      </c>
      <c r="M190" s="616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06"/>
      <c r="AB190" s="606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40955</v>
      </c>
      <c r="D191" s="184" t="s">
        <v>364</v>
      </c>
      <c r="E191" s="191">
        <v>40955</v>
      </c>
      <c r="F191" s="189" t="s">
        <v>366</v>
      </c>
      <c r="G191" s="490" t="s">
        <v>361</v>
      </c>
      <c r="H191" s="7"/>
      <c r="I191" s="252"/>
      <c r="J191" s="255"/>
      <c r="K191" s="615">
        <v>9091</v>
      </c>
      <c r="L191" s="194" t="s">
        <v>84</v>
      </c>
      <c r="M191" s="616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606"/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40955</v>
      </c>
      <c r="D192" s="184" t="s">
        <v>364</v>
      </c>
      <c r="E192" s="191">
        <v>40955</v>
      </c>
      <c r="F192" s="189" t="s">
        <v>1476</v>
      </c>
      <c r="G192" s="490" t="s">
        <v>361</v>
      </c>
      <c r="H192" s="7"/>
      <c r="I192" s="252"/>
      <c r="J192" s="255"/>
      <c r="K192" s="615">
        <v>909</v>
      </c>
      <c r="L192" s="194" t="s">
        <v>9</v>
      </c>
      <c r="M192" s="616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6">
        <v>2</v>
      </c>
      <c r="AB192" s="606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40955</v>
      </c>
      <c r="D193" s="184" t="s">
        <v>459</v>
      </c>
      <c r="E193" s="191">
        <v>40955</v>
      </c>
      <c r="F193" s="189" t="s">
        <v>403</v>
      </c>
      <c r="G193" s="490" t="s">
        <v>597</v>
      </c>
      <c r="H193" s="7" t="s">
        <v>405</v>
      </c>
      <c r="I193" s="252">
        <v>100</v>
      </c>
      <c r="J193" s="255">
        <v>25000</v>
      </c>
      <c r="K193" s="615">
        <v>2500000</v>
      </c>
      <c r="L193" s="194" t="s">
        <v>171</v>
      </c>
      <c r="M193" s="61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>x</v>
      </c>
      <c r="Z193" s="52" t="str">
        <f>IF(AND(B193&lt;=NKC!$N$8,B193&gt;=NKC!$M$8),"x","")</f>
        <v/>
      </c>
      <c r="AA193" s="606"/>
      <c r="AB193" s="606"/>
      <c r="AC193" s="211"/>
      <c r="AD193" s="211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v>40955</v>
      </c>
      <c r="D194" s="184" t="s">
        <v>459</v>
      </c>
      <c r="E194" s="191">
        <v>40955</v>
      </c>
      <c r="F194" s="189" t="s">
        <v>404</v>
      </c>
      <c r="G194" s="490" t="s">
        <v>597</v>
      </c>
      <c r="H194" s="7" t="s">
        <v>405</v>
      </c>
      <c r="I194" s="252"/>
      <c r="J194" s="255"/>
      <c r="K194" s="38">
        <v>250000</v>
      </c>
      <c r="L194" s="194" t="s">
        <v>9</v>
      </c>
      <c r="M194" s="61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606">
        <v>2</v>
      </c>
      <c r="AB194" s="606"/>
      <c r="AC194" s="211"/>
      <c r="AD194" s="211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v>40955</v>
      </c>
      <c r="D195" s="184" t="s">
        <v>444</v>
      </c>
      <c r="E195" s="191">
        <v>40955</v>
      </c>
      <c r="F195" s="189" t="s">
        <v>400</v>
      </c>
      <c r="G195" s="490" t="s">
        <v>597</v>
      </c>
      <c r="H195" s="7" t="s">
        <v>405</v>
      </c>
      <c r="I195" s="254"/>
      <c r="J195" s="255"/>
      <c r="K195" s="615">
        <v>2750000</v>
      </c>
      <c r="L195" s="616" t="s">
        <v>8</v>
      </c>
      <c r="M195" s="616" t="s">
        <v>48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606"/>
      <c r="AC195" s="606"/>
      <c r="AD195" s="606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v>40956</v>
      </c>
      <c r="D196" s="184" t="s">
        <v>363</v>
      </c>
      <c r="E196" s="191">
        <v>40956</v>
      </c>
      <c r="F196" s="189" t="s">
        <v>598</v>
      </c>
      <c r="G196" s="490" t="s">
        <v>361</v>
      </c>
      <c r="H196" s="7" t="s">
        <v>436</v>
      </c>
      <c r="I196" s="254"/>
      <c r="J196" s="255"/>
      <c r="K196" s="615">
        <v>100000000</v>
      </c>
      <c r="L196" s="194" t="s">
        <v>24</v>
      </c>
      <c r="M196" s="616" t="s">
        <v>57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06"/>
      <c r="AB196" s="606"/>
      <c r="AC196" s="606"/>
      <c r="AD196" s="606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v>40956</v>
      </c>
      <c r="D197" s="184" t="s">
        <v>446</v>
      </c>
      <c r="E197" s="191">
        <v>40956</v>
      </c>
      <c r="F197" s="189" t="s">
        <v>571</v>
      </c>
      <c r="G197" s="490" t="s">
        <v>599</v>
      </c>
      <c r="H197" s="7" t="s">
        <v>573</v>
      </c>
      <c r="I197" s="252"/>
      <c r="J197" s="255"/>
      <c r="K197" s="615">
        <v>659271</v>
      </c>
      <c r="L197" s="194" t="s">
        <v>84</v>
      </c>
      <c r="M197" s="616" t="s">
        <v>48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>x</v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06"/>
      <c r="AB197" s="606"/>
      <c r="AC197" s="606"/>
      <c r="AD197" s="606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v>40956</v>
      </c>
      <c r="D198" s="184" t="s">
        <v>446</v>
      </c>
      <c r="E198" s="191">
        <v>40956</v>
      </c>
      <c r="F198" s="189" t="s">
        <v>574</v>
      </c>
      <c r="G198" s="490" t="s">
        <v>599</v>
      </c>
      <c r="H198" s="7" t="s">
        <v>573</v>
      </c>
      <c r="I198" s="255"/>
      <c r="J198" s="255"/>
      <c r="K198" s="38">
        <v>65928</v>
      </c>
      <c r="L198" s="194" t="s">
        <v>9</v>
      </c>
      <c r="M198" s="616" t="s">
        <v>48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>x</v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06">
        <v>2</v>
      </c>
      <c r="AB198" s="606"/>
      <c r="AC198" s="606"/>
      <c r="AD198" s="606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f>E199</f>
        <v>40956</v>
      </c>
      <c r="D199" s="191" t="s">
        <v>1599</v>
      </c>
      <c r="E199" s="191">
        <v>40956</v>
      </c>
      <c r="F199" s="192" t="s">
        <v>551</v>
      </c>
      <c r="G199" s="490" t="s">
        <v>937</v>
      </c>
      <c r="H199" s="7" t="s">
        <v>633</v>
      </c>
      <c r="I199" s="252">
        <v>500</v>
      </c>
      <c r="J199" s="252">
        <v>11500</v>
      </c>
      <c r="K199" s="615">
        <f>ROUND(I199*J199,0)</f>
        <v>5750000</v>
      </c>
      <c r="L199" s="194" t="s">
        <v>284</v>
      </c>
      <c r="M199" s="194" t="s">
        <v>185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211"/>
      <c r="AB199" s="211"/>
      <c r="AC199" s="211"/>
      <c r="AD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f>E200</f>
        <v>40956</v>
      </c>
      <c r="D200" s="191" t="s">
        <v>1599</v>
      </c>
      <c r="E200" s="191">
        <v>40956</v>
      </c>
      <c r="F200" s="192" t="s">
        <v>555</v>
      </c>
      <c r="G200" s="490" t="s">
        <v>937</v>
      </c>
      <c r="H200" s="7" t="s">
        <v>633</v>
      </c>
      <c r="I200" s="252"/>
      <c r="J200" s="252"/>
      <c r="K200" s="615">
        <v>575000</v>
      </c>
      <c r="L200" s="194" t="s">
        <v>284</v>
      </c>
      <c r="M200" s="194" t="s">
        <v>495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f>E201</f>
        <v>40959</v>
      </c>
      <c r="D201" s="191" t="s">
        <v>1600</v>
      </c>
      <c r="E201" s="191">
        <v>40959</v>
      </c>
      <c r="F201" s="192" t="s">
        <v>1157</v>
      </c>
      <c r="G201" s="490" t="s">
        <v>1554</v>
      </c>
      <c r="H201" s="7" t="s">
        <v>500</v>
      </c>
      <c r="I201" s="252">
        <v>930</v>
      </c>
      <c r="J201" s="252">
        <v>10900</v>
      </c>
      <c r="K201" s="615">
        <f>ROUND(I201*J201,0)</f>
        <v>10137000</v>
      </c>
      <c r="L201" s="194" t="s">
        <v>284</v>
      </c>
      <c r="M201" s="194" t="s">
        <v>185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211"/>
      <c r="AC201" s="211"/>
      <c r="AD201" s="211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f>E202</f>
        <v>40959</v>
      </c>
      <c r="D202" s="191" t="s">
        <v>1600</v>
      </c>
      <c r="E202" s="191">
        <v>40959</v>
      </c>
      <c r="F202" s="192" t="s">
        <v>1557</v>
      </c>
      <c r="G202" s="490" t="s">
        <v>1554</v>
      </c>
      <c r="H202" s="7" t="s">
        <v>500</v>
      </c>
      <c r="I202" s="252">
        <v>990</v>
      </c>
      <c r="J202" s="252">
        <v>17900</v>
      </c>
      <c r="K202" s="615">
        <f>ROUND(I202*J202,0)</f>
        <v>17721000</v>
      </c>
      <c r="L202" s="194" t="s">
        <v>284</v>
      </c>
      <c r="M202" s="194" t="s">
        <v>185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211"/>
      <c r="AC202" s="211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40959</v>
      </c>
      <c r="D203" s="191" t="s">
        <v>1600</v>
      </c>
      <c r="E203" s="191">
        <v>40959</v>
      </c>
      <c r="F203" s="192" t="s">
        <v>555</v>
      </c>
      <c r="G203" s="490" t="s">
        <v>1554</v>
      </c>
      <c r="H203" s="7" t="s">
        <v>500</v>
      </c>
      <c r="I203" s="252"/>
      <c r="J203" s="252"/>
      <c r="K203" s="615">
        <v>2785800</v>
      </c>
      <c r="L203" s="194" t="s">
        <v>284</v>
      </c>
      <c r="M203" s="194" t="s">
        <v>495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v>40960</v>
      </c>
      <c r="D204" s="184" t="s">
        <v>1642</v>
      </c>
      <c r="E204" s="191">
        <v>40960</v>
      </c>
      <c r="F204" s="192" t="s">
        <v>559</v>
      </c>
      <c r="G204" s="490" t="s">
        <v>361</v>
      </c>
      <c r="H204" s="7" t="s">
        <v>397</v>
      </c>
      <c r="I204" s="252"/>
      <c r="J204" s="255"/>
      <c r="K204" s="615">
        <v>28000000</v>
      </c>
      <c r="L204" s="194" t="s">
        <v>48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>x</v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06"/>
      <c r="AB204" s="606"/>
      <c r="AC204" s="606"/>
      <c r="AD204" s="606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40960</v>
      </c>
      <c r="D205" s="184" t="s">
        <v>364</v>
      </c>
      <c r="E205" s="191">
        <v>40960</v>
      </c>
      <c r="F205" s="192" t="s">
        <v>400</v>
      </c>
      <c r="G205" s="490" t="s">
        <v>361</v>
      </c>
      <c r="H205" s="7" t="s">
        <v>436</v>
      </c>
      <c r="I205" s="252"/>
      <c r="J205" s="255"/>
      <c r="K205" s="38">
        <v>100000000</v>
      </c>
      <c r="L205" s="616" t="s">
        <v>8</v>
      </c>
      <c r="M205" s="194" t="s">
        <v>24</v>
      </c>
      <c r="N205" s="52" t="str">
        <f>IF(AND('331-CT'!$E$7=TH!H205,OR(L205="331",M205="331")),"331",IF(AND(OR(L205="131",M205="131"),H205='131-CT'!$E$7),"131",""))</f>
        <v>331</v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6"/>
      <c r="AC205" s="606"/>
      <c r="AD205" s="606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v>40960</v>
      </c>
      <c r="D206" s="184" t="s">
        <v>364</v>
      </c>
      <c r="E206" s="191">
        <v>40960</v>
      </c>
      <c r="F206" s="192" t="s">
        <v>366</v>
      </c>
      <c r="G206" s="488" t="s">
        <v>361</v>
      </c>
      <c r="H206" s="45"/>
      <c r="I206" s="252"/>
      <c r="J206" s="252"/>
      <c r="K206" s="38">
        <v>9091</v>
      </c>
      <c r="L206" s="194" t="s">
        <v>84</v>
      </c>
      <c r="M206" s="616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06"/>
      <c r="AB206" s="606"/>
      <c r="AC206" s="606"/>
      <c r="AD206" s="606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v>40960</v>
      </c>
      <c r="D207" s="184" t="s">
        <v>364</v>
      </c>
      <c r="E207" s="191">
        <v>40960</v>
      </c>
      <c r="F207" s="192" t="s">
        <v>1476</v>
      </c>
      <c r="G207" s="488" t="s">
        <v>361</v>
      </c>
      <c r="H207" s="45"/>
      <c r="I207" s="252"/>
      <c r="J207" s="252"/>
      <c r="K207" s="38">
        <v>909</v>
      </c>
      <c r="L207" s="194" t="s">
        <v>9</v>
      </c>
      <c r="M207" s="616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>x</v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606">
        <v>2</v>
      </c>
      <c r="AB207" s="606"/>
      <c r="AC207" s="606"/>
      <c r="AD207" s="606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40962</v>
      </c>
      <c r="D208" s="191" t="s">
        <v>1601</v>
      </c>
      <c r="E208" s="191">
        <v>40962</v>
      </c>
      <c r="F208" s="192" t="s">
        <v>1490</v>
      </c>
      <c r="G208" s="490" t="s">
        <v>938</v>
      </c>
      <c r="H208" s="193" t="s">
        <v>939</v>
      </c>
      <c r="I208" s="252">
        <v>100</v>
      </c>
      <c r="J208" s="252">
        <v>9470</v>
      </c>
      <c r="K208" s="615">
        <f>ROUND(I208*J208,0)</f>
        <v>947000</v>
      </c>
      <c r="L208" s="194" t="s">
        <v>284</v>
      </c>
      <c r="M208" s="194" t="s">
        <v>185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211"/>
      <c r="AC208" s="211"/>
      <c r="AD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17"/>
        <v>2</v>
      </c>
      <c r="C209" s="191">
        <f>E209</f>
        <v>40962</v>
      </c>
      <c r="D209" s="191" t="s">
        <v>1601</v>
      </c>
      <c r="E209" s="191">
        <v>40962</v>
      </c>
      <c r="F209" s="192" t="s">
        <v>555</v>
      </c>
      <c r="G209" s="490" t="s">
        <v>938</v>
      </c>
      <c r="H209" s="193" t="s">
        <v>939</v>
      </c>
      <c r="I209" s="252"/>
      <c r="J209" s="252"/>
      <c r="K209" s="615">
        <v>94700</v>
      </c>
      <c r="L209" s="194" t="s">
        <v>284</v>
      </c>
      <c r="M209" s="194" t="s">
        <v>495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17"/>
        <v>2</v>
      </c>
      <c r="C210" s="191">
        <f>E210</f>
        <v>40962</v>
      </c>
      <c r="D210" s="191" t="s">
        <v>1643</v>
      </c>
      <c r="E210" s="191">
        <v>40962</v>
      </c>
      <c r="F210" s="192" t="s">
        <v>365</v>
      </c>
      <c r="G210" s="490" t="s">
        <v>938</v>
      </c>
      <c r="H210" s="193" t="s">
        <v>939</v>
      </c>
      <c r="I210" s="252"/>
      <c r="J210" s="252"/>
      <c r="K210" s="615">
        <v>1041700</v>
      </c>
      <c r="L210" s="194" t="s">
        <v>48</v>
      </c>
      <c r="M210" s="194" t="s">
        <v>284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17"/>
        <v>2</v>
      </c>
      <c r="C211" s="191">
        <v>40963</v>
      </c>
      <c r="D211" s="184" t="s">
        <v>447</v>
      </c>
      <c r="E211" s="191">
        <v>40963</v>
      </c>
      <c r="F211" s="192" t="s">
        <v>373</v>
      </c>
      <c r="G211" s="488" t="s">
        <v>600</v>
      </c>
      <c r="H211" s="45" t="s">
        <v>601</v>
      </c>
      <c r="I211" s="252"/>
      <c r="J211" s="252"/>
      <c r="K211" s="38">
        <v>410000</v>
      </c>
      <c r="L211" s="194" t="s">
        <v>84</v>
      </c>
      <c r="M211" s="616" t="s">
        <v>48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>x</v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606"/>
      <c r="AC211" s="606"/>
      <c r="AD211" s="606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17"/>
        <v>2</v>
      </c>
      <c r="C212" s="191">
        <f>E212</f>
        <v>40963</v>
      </c>
      <c r="D212" s="191" t="s">
        <v>1602</v>
      </c>
      <c r="E212" s="191">
        <v>40963</v>
      </c>
      <c r="F212" s="192" t="s">
        <v>1559</v>
      </c>
      <c r="G212" s="490" t="s">
        <v>1558</v>
      </c>
      <c r="H212" s="193" t="s">
        <v>596</v>
      </c>
      <c r="I212" s="252">
        <v>200</v>
      </c>
      <c r="J212" s="252">
        <v>15720</v>
      </c>
      <c r="K212" s="615">
        <f>ROUND(I212*J212,0)</f>
        <v>3144000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customHeight="1">
      <c r="A213" s="204" t="str">
        <f>IF(B213&lt;&gt;"",IF(AND(B213&gt;=_TM1,B213&lt;=_TM2,OR(TH!L213="1111",TH!M213="1111")),TH!D213,""),"")</f>
        <v/>
      </c>
      <c r="B213" s="36">
        <f t="shared" si="17"/>
        <v>2</v>
      </c>
      <c r="C213" s="191">
        <f>E213</f>
        <v>40963</v>
      </c>
      <c r="D213" s="191" t="s">
        <v>1602</v>
      </c>
      <c r="E213" s="191">
        <v>40963</v>
      </c>
      <c r="F213" s="192" t="s">
        <v>1560</v>
      </c>
      <c r="G213" s="490" t="s">
        <v>1558</v>
      </c>
      <c r="H213" s="193" t="s">
        <v>596</v>
      </c>
      <c r="I213" s="252">
        <v>200</v>
      </c>
      <c r="J213" s="252">
        <v>1000</v>
      </c>
      <c r="K213" s="615">
        <f>ROUND(I213*J213,0)</f>
        <v>200000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customHeight="1">
      <c r="A214" s="204" t="str">
        <f>IF(B214&lt;&gt;"",IF(AND(B214&gt;=_TM1,B214&lt;=_TM2,OR(TH!L214="1111",TH!M214="1111")),TH!D214,""),"")</f>
        <v/>
      </c>
      <c r="B214" s="36">
        <f t="shared" si="17"/>
        <v>2</v>
      </c>
      <c r="C214" s="191">
        <f>E214</f>
        <v>40963</v>
      </c>
      <c r="D214" s="191" t="s">
        <v>1602</v>
      </c>
      <c r="E214" s="191">
        <v>40963</v>
      </c>
      <c r="F214" s="192" t="s">
        <v>555</v>
      </c>
      <c r="G214" s="490" t="s">
        <v>1558</v>
      </c>
      <c r="H214" s="193" t="s">
        <v>596</v>
      </c>
      <c r="I214" s="252"/>
      <c r="J214" s="252"/>
      <c r="K214" s="615">
        <v>334400</v>
      </c>
      <c r="L214" s="194" t="s">
        <v>284</v>
      </c>
      <c r="M214" s="194" t="s">
        <v>495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</row>
    <row r="215" spans="1:30" ht="15.75" customHeight="1">
      <c r="A215" s="204" t="str">
        <f>IF(B215&lt;&gt;"",IF(AND(B215&gt;=_TM1,B215&lt;=_TM2,OR(TH!L215="1111",TH!M215="1111")),TH!D215,""),"")</f>
        <v/>
      </c>
      <c r="B215" s="36">
        <f t="shared" ref="B215:B278" si="19">IF(C215&lt;&gt;"",MONTH(C215),"")</f>
        <v>2</v>
      </c>
      <c r="C215" s="191">
        <f>E215</f>
        <v>40963</v>
      </c>
      <c r="D215" s="191" t="s">
        <v>1644</v>
      </c>
      <c r="E215" s="191">
        <v>40963</v>
      </c>
      <c r="F215" s="192" t="s">
        <v>365</v>
      </c>
      <c r="G215" s="490" t="s">
        <v>1558</v>
      </c>
      <c r="H215" s="193" t="s">
        <v>596</v>
      </c>
      <c r="I215" s="252"/>
      <c r="J215" s="252"/>
      <c r="K215" s="615">
        <v>3678400</v>
      </c>
      <c r="L215" s="194" t="s">
        <v>48</v>
      </c>
      <c r="M215" s="194" t="s">
        <v>284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v>40964</v>
      </c>
      <c r="D216" s="184" t="s">
        <v>363</v>
      </c>
      <c r="E216" s="191">
        <v>40964</v>
      </c>
      <c r="F216" s="192" t="s">
        <v>398</v>
      </c>
      <c r="G216" s="488" t="s">
        <v>361</v>
      </c>
      <c r="H216" s="45"/>
      <c r="I216" s="252"/>
      <c r="J216" s="252"/>
      <c r="K216" s="38">
        <v>58419</v>
      </c>
      <c r="L216" s="194" t="s">
        <v>24</v>
      </c>
      <c r="M216" s="616" t="s">
        <v>40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>x</v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606"/>
      <c r="AB216" s="606"/>
      <c r="AC216" s="606"/>
      <c r="AD216" s="606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ref="C217:C245" si="20">E217</f>
        <v>40965</v>
      </c>
      <c r="D217" s="191" t="s">
        <v>1603</v>
      </c>
      <c r="E217" s="191">
        <v>40965</v>
      </c>
      <c r="F217" s="192" t="s">
        <v>1496</v>
      </c>
      <c r="G217" s="490" t="s">
        <v>1495</v>
      </c>
      <c r="H217" s="7" t="s">
        <v>496</v>
      </c>
      <c r="I217" s="252">
        <v>735</v>
      </c>
      <c r="J217" s="252">
        <v>14299</v>
      </c>
      <c r="K217" s="615">
        <f t="shared" ref="K217:K244" si="21">ROUND(I217*J217,0)</f>
        <v>10509765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1603</v>
      </c>
      <c r="E218" s="191">
        <v>40965</v>
      </c>
      <c r="F218" s="192" t="s">
        <v>1497</v>
      </c>
      <c r="G218" s="490" t="s">
        <v>1495</v>
      </c>
      <c r="H218" s="7" t="s">
        <v>496</v>
      </c>
      <c r="I218" s="252">
        <v>2</v>
      </c>
      <c r="J218" s="252">
        <v>7146</v>
      </c>
      <c r="K218" s="615">
        <f t="shared" si="21"/>
        <v>14292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1603</v>
      </c>
      <c r="E219" s="191">
        <v>40965</v>
      </c>
      <c r="F219" s="192" t="s">
        <v>1498</v>
      </c>
      <c r="G219" s="490" t="s">
        <v>1495</v>
      </c>
      <c r="H219" s="7" t="s">
        <v>496</v>
      </c>
      <c r="I219" s="252">
        <v>2</v>
      </c>
      <c r="J219" s="252">
        <v>13172</v>
      </c>
      <c r="K219" s="615">
        <f t="shared" si="21"/>
        <v>26344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1603</v>
      </c>
      <c r="E220" s="191">
        <v>40965</v>
      </c>
      <c r="F220" s="192" t="s">
        <v>1499</v>
      </c>
      <c r="G220" s="490" t="s">
        <v>1495</v>
      </c>
      <c r="H220" s="7" t="s">
        <v>496</v>
      </c>
      <c r="I220" s="252">
        <v>1</v>
      </c>
      <c r="J220" s="252">
        <v>5827</v>
      </c>
      <c r="K220" s="615">
        <f t="shared" si="21"/>
        <v>5827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1603</v>
      </c>
      <c r="E221" s="191">
        <v>40965</v>
      </c>
      <c r="F221" s="192" t="s">
        <v>1500</v>
      </c>
      <c r="G221" s="490" t="s">
        <v>1495</v>
      </c>
      <c r="H221" s="7" t="s">
        <v>496</v>
      </c>
      <c r="I221" s="252">
        <v>1</v>
      </c>
      <c r="J221" s="252">
        <v>10323</v>
      </c>
      <c r="K221" s="615">
        <f t="shared" si="21"/>
        <v>10323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1603</v>
      </c>
      <c r="E222" s="191">
        <v>40965</v>
      </c>
      <c r="F222" s="192" t="s">
        <v>1501</v>
      </c>
      <c r="G222" s="490" t="s">
        <v>1495</v>
      </c>
      <c r="H222" s="7" t="s">
        <v>496</v>
      </c>
      <c r="I222" s="252">
        <v>1</v>
      </c>
      <c r="J222" s="252">
        <v>8416</v>
      </c>
      <c r="K222" s="615">
        <f t="shared" si="21"/>
        <v>8416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1603</v>
      </c>
      <c r="E223" s="191">
        <v>40965</v>
      </c>
      <c r="F223" s="192" t="s">
        <v>1502</v>
      </c>
      <c r="G223" s="490" t="s">
        <v>1495</v>
      </c>
      <c r="H223" s="7" t="s">
        <v>496</v>
      </c>
      <c r="I223" s="252">
        <v>1</v>
      </c>
      <c r="J223" s="252">
        <v>9171</v>
      </c>
      <c r="K223" s="615">
        <f t="shared" si="21"/>
        <v>9171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1603</v>
      </c>
      <c r="E224" s="191">
        <v>40965</v>
      </c>
      <c r="F224" s="192" t="s">
        <v>1503</v>
      </c>
      <c r="G224" s="490" t="s">
        <v>1495</v>
      </c>
      <c r="H224" s="7" t="s">
        <v>496</v>
      </c>
      <c r="I224" s="252">
        <v>1</v>
      </c>
      <c r="J224" s="252">
        <v>8814</v>
      </c>
      <c r="K224" s="615">
        <f t="shared" si="21"/>
        <v>8814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1603</v>
      </c>
      <c r="E225" s="191">
        <v>40965</v>
      </c>
      <c r="F225" s="192" t="s">
        <v>1504</v>
      </c>
      <c r="G225" s="490" t="s">
        <v>1495</v>
      </c>
      <c r="H225" s="7" t="s">
        <v>496</v>
      </c>
      <c r="I225" s="252">
        <v>167</v>
      </c>
      <c r="J225" s="252">
        <v>9650</v>
      </c>
      <c r="K225" s="615">
        <f t="shared" si="21"/>
        <v>1611550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1603</v>
      </c>
      <c r="E226" s="191">
        <v>40965</v>
      </c>
      <c r="F226" s="192" t="s">
        <v>1505</v>
      </c>
      <c r="G226" s="490" t="s">
        <v>1495</v>
      </c>
      <c r="H226" s="7" t="s">
        <v>496</v>
      </c>
      <c r="I226" s="252">
        <v>364</v>
      </c>
      <c r="J226" s="252">
        <v>10655</v>
      </c>
      <c r="K226" s="615">
        <f t="shared" si="21"/>
        <v>3878420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1603</v>
      </c>
      <c r="E227" s="191">
        <v>40965</v>
      </c>
      <c r="F227" s="192" t="s">
        <v>1506</v>
      </c>
      <c r="G227" s="490" t="s">
        <v>1495</v>
      </c>
      <c r="H227" s="7" t="s">
        <v>496</v>
      </c>
      <c r="I227" s="252">
        <v>420</v>
      </c>
      <c r="J227" s="252">
        <v>13938</v>
      </c>
      <c r="K227" s="615">
        <f t="shared" si="21"/>
        <v>5853960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1604</v>
      </c>
      <c r="E228" s="191">
        <v>40965</v>
      </c>
      <c r="F228" s="192" t="s">
        <v>1507</v>
      </c>
      <c r="G228" s="490" t="s">
        <v>1495</v>
      </c>
      <c r="H228" s="7" t="s">
        <v>496</v>
      </c>
      <c r="I228" s="252">
        <v>8</v>
      </c>
      <c r="J228" s="252">
        <v>16356</v>
      </c>
      <c r="K228" s="615">
        <f t="shared" si="21"/>
        <v>130848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1604</v>
      </c>
      <c r="E229" s="191">
        <v>40965</v>
      </c>
      <c r="F229" s="192" t="s">
        <v>1508</v>
      </c>
      <c r="G229" s="490" t="s">
        <v>1495</v>
      </c>
      <c r="H229" s="7" t="s">
        <v>496</v>
      </c>
      <c r="I229" s="252">
        <v>10</v>
      </c>
      <c r="J229" s="252">
        <v>11382</v>
      </c>
      <c r="K229" s="615">
        <f t="shared" si="21"/>
        <v>113820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1604</v>
      </c>
      <c r="E230" s="191">
        <v>40965</v>
      </c>
      <c r="F230" s="192" t="s">
        <v>1509</v>
      </c>
      <c r="G230" s="490" t="s">
        <v>1495</v>
      </c>
      <c r="H230" s="7" t="s">
        <v>496</v>
      </c>
      <c r="I230" s="252">
        <v>17</v>
      </c>
      <c r="J230" s="252">
        <v>15688</v>
      </c>
      <c r="K230" s="615">
        <f t="shared" si="21"/>
        <v>266696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1604</v>
      </c>
      <c r="E231" s="191">
        <v>40965</v>
      </c>
      <c r="F231" s="192" t="s">
        <v>1510</v>
      </c>
      <c r="G231" s="490" t="s">
        <v>1495</v>
      </c>
      <c r="H231" s="7" t="s">
        <v>496</v>
      </c>
      <c r="I231" s="252">
        <v>61</v>
      </c>
      <c r="J231" s="252">
        <v>14909</v>
      </c>
      <c r="K231" s="615">
        <f t="shared" si="21"/>
        <v>909449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1604</v>
      </c>
      <c r="E232" s="191">
        <v>40965</v>
      </c>
      <c r="F232" s="192" t="s">
        <v>1511</v>
      </c>
      <c r="G232" s="490" t="s">
        <v>1495</v>
      </c>
      <c r="H232" s="7" t="s">
        <v>496</v>
      </c>
      <c r="I232" s="252">
        <v>22</v>
      </c>
      <c r="J232" s="252">
        <v>7402</v>
      </c>
      <c r="K232" s="615">
        <f t="shared" si="21"/>
        <v>162844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1604</v>
      </c>
      <c r="E233" s="191">
        <v>40965</v>
      </c>
      <c r="F233" s="192" t="s">
        <v>1512</v>
      </c>
      <c r="G233" s="490" t="s">
        <v>1495</v>
      </c>
      <c r="H233" s="7" t="s">
        <v>496</v>
      </c>
      <c r="I233" s="252">
        <v>50</v>
      </c>
      <c r="J233" s="252">
        <v>8502</v>
      </c>
      <c r="K233" s="615">
        <f t="shared" si="21"/>
        <v>425100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1604</v>
      </c>
      <c r="E234" s="191">
        <v>40965</v>
      </c>
      <c r="F234" s="192" t="s">
        <v>1513</v>
      </c>
      <c r="G234" s="490" t="s">
        <v>1495</v>
      </c>
      <c r="H234" s="7" t="s">
        <v>496</v>
      </c>
      <c r="I234" s="252">
        <v>19</v>
      </c>
      <c r="J234" s="252">
        <v>16790</v>
      </c>
      <c r="K234" s="615">
        <f t="shared" si="21"/>
        <v>319010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1604</v>
      </c>
      <c r="E235" s="191">
        <v>40965</v>
      </c>
      <c r="F235" s="192" t="s">
        <v>1514</v>
      </c>
      <c r="G235" s="490" t="s">
        <v>1495</v>
      </c>
      <c r="H235" s="7" t="s">
        <v>496</v>
      </c>
      <c r="I235" s="252">
        <v>3</v>
      </c>
      <c r="J235" s="252">
        <v>12633</v>
      </c>
      <c r="K235" s="615">
        <f t="shared" si="21"/>
        <v>37899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1604</v>
      </c>
      <c r="E236" s="191">
        <v>40965</v>
      </c>
      <c r="F236" s="192" t="s">
        <v>1498</v>
      </c>
      <c r="G236" s="490" t="s">
        <v>1495</v>
      </c>
      <c r="H236" s="7" t="s">
        <v>496</v>
      </c>
      <c r="I236" s="252">
        <v>2</v>
      </c>
      <c r="J236" s="252">
        <v>13172</v>
      </c>
      <c r="K236" s="615">
        <f t="shared" si="21"/>
        <v>26344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1604</v>
      </c>
      <c r="E237" s="191">
        <v>40965</v>
      </c>
      <c r="F237" s="192" t="s">
        <v>1509</v>
      </c>
      <c r="G237" s="490" t="s">
        <v>1495</v>
      </c>
      <c r="H237" s="7" t="s">
        <v>496</v>
      </c>
      <c r="I237" s="252">
        <v>2</v>
      </c>
      <c r="J237" s="252">
        <v>15688</v>
      </c>
      <c r="K237" s="615">
        <f t="shared" si="21"/>
        <v>31376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1604</v>
      </c>
      <c r="E238" s="191">
        <v>40965</v>
      </c>
      <c r="F238" s="192" t="s">
        <v>1515</v>
      </c>
      <c r="G238" s="490" t="s">
        <v>1495</v>
      </c>
      <c r="H238" s="7" t="s">
        <v>496</v>
      </c>
      <c r="I238" s="252">
        <v>1</v>
      </c>
      <c r="J238" s="252">
        <v>12250</v>
      </c>
      <c r="K238" s="615">
        <f t="shared" si="21"/>
        <v>12250</v>
      </c>
      <c r="L238" s="194" t="s">
        <v>284</v>
      </c>
      <c r="M238" s="194" t="s">
        <v>185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211"/>
      <c r="AC238" s="211"/>
      <c r="AD238" s="211"/>
    </row>
    <row r="239" spans="1:30" ht="15.75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f t="shared" si="20"/>
        <v>40965</v>
      </c>
      <c r="D239" s="191" t="s">
        <v>1605</v>
      </c>
      <c r="E239" s="191">
        <v>40965</v>
      </c>
      <c r="F239" s="192" t="s">
        <v>1516</v>
      </c>
      <c r="G239" s="490" t="s">
        <v>1495</v>
      </c>
      <c r="H239" s="7" t="s">
        <v>496</v>
      </c>
      <c r="I239" s="252">
        <v>4</v>
      </c>
      <c r="J239" s="252">
        <v>19723</v>
      </c>
      <c r="K239" s="615">
        <f t="shared" si="21"/>
        <v>78892</v>
      </c>
      <c r="L239" s="194" t="s">
        <v>284</v>
      </c>
      <c r="M239" s="194" t="s">
        <v>185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211"/>
      <c r="AC239" s="211"/>
      <c r="AD239" s="211"/>
    </row>
    <row r="240" spans="1:30" ht="15.75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f t="shared" si="20"/>
        <v>40965</v>
      </c>
      <c r="D240" s="191" t="s">
        <v>1605</v>
      </c>
      <c r="E240" s="191">
        <v>40965</v>
      </c>
      <c r="F240" s="192" t="s">
        <v>1517</v>
      </c>
      <c r="G240" s="490" t="s">
        <v>1495</v>
      </c>
      <c r="H240" s="7" t="s">
        <v>496</v>
      </c>
      <c r="I240" s="252">
        <v>4</v>
      </c>
      <c r="J240" s="252">
        <v>19819</v>
      </c>
      <c r="K240" s="615">
        <f t="shared" si="21"/>
        <v>79276</v>
      </c>
      <c r="L240" s="194" t="s">
        <v>284</v>
      </c>
      <c r="M240" s="194" t="s">
        <v>185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211"/>
      <c r="AC240" s="211"/>
      <c r="AD240" s="211"/>
    </row>
    <row r="241" spans="1:30" ht="15.75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91">
        <f t="shared" si="20"/>
        <v>40965</v>
      </c>
      <c r="D241" s="191" t="s">
        <v>1605</v>
      </c>
      <c r="E241" s="191">
        <v>40965</v>
      </c>
      <c r="F241" s="192" t="s">
        <v>1518</v>
      </c>
      <c r="G241" s="490" t="s">
        <v>1495</v>
      </c>
      <c r="H241" s="7" t="s">
        <v>496</v>
      </c>
      <c r="I241" s="252">
        <v>10</v>
      </c>
      <c r="J241" s="252">
        <v>17916</v>
      </c>
      <c r="K241" s="615">
        <f t="shared" si="21"/>
        <v>179160</v>
      </c>
      <c r="L241" s="194" t="s">
        <v>284</v>
      </c>
      <c r="M241" s="194" t="s">
        <v>185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211"/>
      <c r="AC241" s="211"/>
      <c r="AD241" s="211"/>
    </row>
    <row r="242" spans="1:30" ht="15.75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91">
        <f t="shared" si="20"/>
        <v>40965</v>
      </c>
      <c r="D242" s="191" t="s">
        <v>1605</v>
      </c>
      <c r="E242" s="191">
        <v>40965</v>
      </c>
      <c r="F242" s="192" t="s">
        <v>1519</v>
      </c>
      <c r="G242" s="490" t="s">
        <v>1495</v>
      </c>
      <c r="H242" s="7" t="s">
        <v>496</v>
      </c>
      <c r="I242" s="252">
        <v>508</v>
      </c>
      <c r="J242" s="252">
        <v>17507</v>
      </c>
      <c r="K242" s="615">
        <f t="shared" si="21"/>
        <v>8893556</v>
      </c>
      <c r="L242" s="194" t="s">
        <v>284</v>
      </c>
      <c r="M242" s="194" t="s">
        <v>185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211"/>
      <c r="AC242" s="211"/>
      <c r="AD242" s="211"/>
    </row>
    <row r="243" spans="1:30" ht="15.75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f t="shared" si="20"/>
        <v>40965</v>
      </c>
      <c r="D243" s="191" t="s">
        <v>1605</v>
      </c>
      <c r="E243" s="191">
        <v>40965</v>
      </c>
      <c r="F243" s="192" t="s">
        <v>934</v>
      </c>
      <c r="G243" s="490" t="s">
        <v>1495</v>
      </c>
      <c r="H243" s="7" t="s">
        <v>496</v>
      </c>
      <c r="I243" s="252">
        <v>520</v>
      </c>
      <c r="J243" s="252">
        <v>6577</v>
      </c>
      <c r="K243" s="615">
        <f t="shared" si="21"/>
        <v>3420040</v>
      </c>
      <c r="L243" s="194" t="s">
        <v>284</v>
      </c>
      <c r="M243" s="194" t="s">
        <v>185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211"/>
      <c r="AC243" s="211"/>
      <c r="AD243" s="211"/>
    </row>
    <row r="244" spans="1:30" ht="15.75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f t="shared" si="20"/>
        <v>40965</v>
      </c>
      <c r="D244" s="191" t="s">
        <v>1605</v>
      </c>
      <c r="E244" s="191">
        <v>40965</v>
      </c>
      <c r="F244" s="192" t="s">
        <v>1520</v>
      </c>
      <c r="G244" s="490" t="s">
        <v>1495</v>
      </c>
      <c r="H244" s="7" t="s">
        <v>496</v>
      </c>
      <c r="I244" s="252">
        <v>2</v>
      </c>
      <c r="J244" s="252">
        <v>19181</v>
      </c>
      <c r="K244" s="615">
        <f t="shared" si="21"/>
        <v>38362</v>
      </c>
      <c r="L244" s="194" t="s">
        <v>284</v>
      </c>
      <c r="M244" s="194" t="s">
        <v>185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211"/>
      <c r="AC244" s="211"/>
      <c r="AD244" s="211"/>
    </row>
    <row r="245" spans="1:30" ht="15.75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f t="shared" si="20"/>
        <v>40965</v>
      </c>
      <c r="D245" s="191" t="s">
        <v>1605</v>
      </c>
      <c r="E245" s="191">
        <v>40965</v>
      </c>
      <c r="F245" s="192" t="s">
        <v>555</v>
      </c>
      <c r="G245" s="490" t="s">
        <v>1495</v>
      </c>
      <c r="H245" s="7" t="s">
        <v>496</v>
      </c>
      <c r="I245" s="252"/>
      <c r="J245" s="252"/>
      <c r="K245" s="615">
        <v>3706181</v>
      </c>
      <c r="L245" s="194" t="s">
        <v>284</v>
      </c>
      <c r="M245" s="194" t="s">
        <v>495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</row>
    <row r="246" spans="1:30" ht="15.75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92" t="s">
        <v>1369</v>
      </c>
      <c r="G246" s="488" t="s">
        <v>602</v>
      </c>
      <c r="H246" s="7" t="s">
        <v>436</v>
      </c>
      <c r="I246" s="252">
        <v>100</v>
      </c>
      <c r="J246" s="252">
        <v>13471</v>
      </c>
      <c r="K246" s="38">
        <v>1347100</v>
      </c>
      <c r="L246" s="194" t="s">
        <v>169</v>
      </c>
      <c r="M246" s="616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6"/>
      <c r="AB246" s="606"/>
      <c r="AC246" s="606"/>
      <c r="AD246" s="606"/>
    </row>
    <row r="247" spans="1:30" ht="15.75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1370</v>
      </c>
      <c r="G247" s="488" t="s">
        <v>602</v>
      </c>
      <c r="H247" s="7" t="s">
        <v>436</v>
      </c>
      <c r="I247" s="252">
        <v>190</v>
      </c>
      <c r="J247" s="252">
        <v>14984</v>
      </c>
      <c r="K247" s="38">
        <v>2846960</v>
      </c>
      <c r="L247" s="194" t="s">
        <v>169</v>
      </c>
      <c r="M247" s="616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606"/>
      <c r="AC247" s="606"/>
      <c r="AD247" s="606"/>
    </row>
    <row r="248" spans="1:30" ht="15.75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84">
        <v>40966</v>
      </c>
      <c r="D248" s="184" t="s">
        <v>465</v>
      </c>
      <c r="E248" s="184">
        <v>40966</v>
      </c>
      <c r="F248" s="189" t="s">
        <v>1371</v>
      </c>
      <c r="G248" s="617" t="s">
        <v>602</v>
      </c>
      <c r="H248" s="7" t="s">
        <v>436</v>
      </c>
      <c r="I248" s="252">
        <v>360</v>
      </c>
      <c r="J248" s="252">
        <v>20362</v>
      </c>
      <c r="K248" s="615">
        <v>7330320</v>
      </c>
      <c r="L248" s="616" t="s">
        <v>169</v>
      </c>
      <c r="M248" s="616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6"/>
      <c r="AB248" s="606"/>
      <c r="AC248" s="606"/>
      <c r="AD248" s="606"/>
    </row>
    <row r="249" spans="1:30" ht="15.75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84">
        <v>40966</v>
      </c>
      <c r="D249" s="184" t="s">
        <v>465</v>
      </c>
      <c r="E249" s="184">
        <v>40966</v>
      </c>
      <c r="F249" s="189" t="s">
        <v>1376</v>
      </c>
      <c r="G249" s="617" t="s">
        <v>602</v>
      </c>
      <c r="H249" s="7" t="s">
        <v>436</v>
      </c>
      <c r="I249" s="252">
        <v>100</v>
      </c>
      <c r="J249" s="252">
        <v>11508</v>
      </c>
      <c r="K249" s="615">
        <v>1150800</v>
      </c>
      <c r="L249" s="616" t="s">
        <v>169</v>
      </c>
      <c r="M249" s="616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6"/>
      <c r="AB249" s="606"/>
      <c r="AC249" s="606"/>
      <c r="AD249" s="606"/>
    </row>
    <row r="250" spans="1:30" s="849" customFormat="1" ht="15.75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465</v>
      </c>
      <c r="E250" s="191">
        <v>40966</v>
      </c>
      <c r="F250" s="189" t="s">
        <v>1377</v>
      </c>
      <c r="G250" s="490" t="s">
        <v>602</v>
      </c>
      <c r="H250" s="7" t="s">
        <v>436</v>
      </c>
      <c r="I250" s="252">
        <v>100</v>
      </c>
      <c r="J250" s="255">
        <v>15344</v>
      </c>
      <c r="K250" s="615">
        <v>1534400</v>
      </c>
      <c r="L250" s="194" t="s">
        <v>169</v>
      </c>
      <c r="M250" s="616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606"/>
      <c r="AB250" s="606"/>
      <c r="AC250" s="606"/>
      <c r="AD250" s="606"/>
    </row>
    <row r="251" spans="1:30" s="849" customFormat="1" ht="15.75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465</v>
      </c>
      <c r="E251" s="191">
        <v>40966</v>
      </c>
      <c r="F251" s="189" t="s">
        <v>1378</v>
      </c>
      <c r="G251" s="490" t="s">
        <v>602</v>
      </c>
      <c r="H251" s="7" t="s">
        <v>436</v>
      </c>
      <c r="I251" s="254">
        <v>250</v>
      </c>
      <c r="J251" s="255">
        <v>12053</v>
      </c>
      <c r="K251" s="615">
        <v>3013250</v>
      </c>
      <c r="L251" s="194" t="s">
        <v>169</v>
      </c>
      <c r="M251" s="616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606"/>
      <c r="AB251" s="606"/>
      <c r="AC251" s="606"/>
      <c r="AD251" s="606"/>
    </row>
    <row r="252" spans="1:30" s="849" customFormat="1" ht="15.75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465</v>
      </c>
      <c r="E252" s="191">
        <v>40966</v>
      </c>
      <c r="F252" s="189" t="s">
        <v>1257</v>
      </c>
      <c r="G252" s="490" t="s">
        <v>602</v>
      </c>
      <c r="H252" s="7" t="s">
        <v>436</v>
      </c>
      <c r="I252" s="252">
        <v>260</v>
      </c>
      <c r="J252" s="255">
        <v>32728</v>
      </c>
      <c r="K252" s="615">
        <v>8509280</v>
      </c>
      <c r="L252" s="194" t="s">
        <v>169</v>
      </c>
      <c r="M252" s="616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606"/>
      <c r="AC252" s="606"/>
      <c r="AD252" s="606"/>
    </row>
    <row r="253" spans="1:30" s="849" customFormat="1" ht="15.75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465</v>
      </c>
      <c r="E253" s="191">
        <v>40966</v>
      </c>
      <c r="F253" s="189" t="s">
        <v>1258</v>
      </c>
      <c r="G253" s="490" t="s">
        <v>602</v>
      </c>
      <c r="H253" s="7" t="s">
        <v>436</v>
      </c>
      <c r="I253" s="254">
        <v>100</v>
      </c>
      <c r="J253" s="255">
        <v>27630</v>
      </c>
      <c r="K253" s="38">
        <v>2763000</v>
      </c>
      <c r="L253" s="194" t="s">
        <v>169</v>
      </c>
      <c r="M253" s="616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6"/>
      <c r="AB253" s="606"/>
      <c r="AC253" s="606"/>
      <c r="AD253" s="606"/>
    </row>
    <row r="254" spans="1:30" s="849" customFormat="1" ht="15.75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191">
        <v>40966</v>
      </c>
      <c r="D254" s="184" t="s">
        <v>465</v>
      </c>
      <c r="E254" s="191">
        <v>40966</v>
      </c>
      <c r="F254" s="192" t="s">
        <v>566</v>
      </c>
      <c r="G254" s="488" t="s">
        <v>602</v>
      </c>
      <c r="H254" s="7" t="s">
        <v>436</v>
      </c>
      <c r="I254" s="252"/>
      <c r="J254" s="252"/>
      <c r="K254" s="38">
        <v>2849511</v>
      </c>
      <c r="L254" s="194" t="s">
        <v>9</v>
      </c>
      <c r="M254" s="616" t="s">
        <v>8</v>
      </c>
      <c r="N254" s="52" t="str">
        <f>IF(AND('331-CT'!$E$7=TH!H254,OR(L254="331",M254="331")),"331",IF(AND(OR(L254="131",M254="131"),H254='131-CT'!$E$7),"131",""))</f>
        <v>331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606">
        <v>2</v>
      </c>
      <c r="AB254" s="606"/>
      <c r="AC254" s="606"/>
      <c r="AD254" s="606"/>
    </row>
    <row r="255" spans="1:30" s="849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191">
        <v>40966</v>
      </c>
      <c r="D255" s="184" t="s">
        <v>466</v>
      </c>
      <c r="E255" s="191">
        <v>40966</v>
      </c>
      <c r="F255" s="192" t="s">
        <v>1379</v>
      </c>
      <c r="G255" s="488" t="s">
        <v>603</v>
      </c>
      <c r="H255" s="7" t="s">
        <v>436</v>
      </c>
      <c r="I255" s="252">
        <v>100</v>
      </c>
      <c r="J255" s="252">
        <v>14729</v>
      </c>
      <c r="K255" s="38">
        <v>1472900</v>
      </c>
      <c r="L255" s="194" t="s">
        <v>169</v>
      </c>
      <c r="M255" s="616" t="s">
        <v>8</v>
      </c>
      <c r="N255" s="52" t="str">
        <f>IF(AND('331-CT'!$E$7=TH!H255,OR(L255="331",M255="331")),"331",IF(AND(OR(L255="131",M255="131"),H255='131-CT'!$E$7),"131",""))</f>
        <v>331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606"/>
      <c r="AB255" s="606"/>
      <c r="AC255" s="606"/>
      <c r="AD255" s="606"/>
    </row>
    <row r="256" spans="1:30" s="849" customFormat="1" ht="15.75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191">
        <v>40966</v>
      </c>
      <c r="D256" s="184" t="s">
        <v>466</v>
      </c>
      <c r="E256" s="191">
        <v>40966</v>
      </c>
      <c r="F256" s="192" t="s">
        <v>1259</v>
      </c>
      <c r="G256" s="490" t="s">
        <v>603</v>
      </c>
      <c r="H256" s="7" t="s">
        <v>436</v>
      </c>
      <c r="I256" s="254">
        <v>250</v>
      </c>
      <c r="J256" s="255">
        <v>12735</v>
      </c>
      <c r="K256" s="38">
        <v>3183750</v>
      </c>
      <c r="L256" s="194" t="s">
        <v>169</v>
      </c>
      <c r="M256" s="616" t="s">
        <v>8</v>
      </c>
      <c r="N256" s="52" t="str">
        <f>IF(AND('331-CT'!$E$7=TH!H256,OR(L256="331",M256="331")),"331",IF(AND(OR(L256="131",M256="131"),H256='131-CT'!$E$7),"131",""))</f>
        <v>331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606"/>
      <c r="AB256" s="606"/>
      <c r="AC256" s="606"/>
      <c r="AD256" s="606"/>
    </row>
    <row r="257" spans="1:30" s="849" customFormat="1" ht="15.75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91">
        <v>40966</v>
      </c>
      <c r="D257" s="184" t="s">
        <v>466</v>
      </c>
      <c r="E257" s="191">
        <v>40966</v>
      </c>
      <c r="F257" s="192" t="s">
        <v>1252</v>
      </c>
      <c r="G257" s="490" t="s">
        <v>603</v>
      </c>
      <c r="H257" s="7" t="s">
        <v>436</v>
      </c>
      <c r="I257" s="254">
        <v>340</v>
      </c>
      <c r="J257" s="254">
        <v>30158</v>
      </c>
      <c r="K257" s="38">
        <v>10253720</v>
      </c>
      <c r="L257" s="194" t="s">
        <v>169</v>
      </c>
      <c r="M257" s="616" t="s">
        <v>8</v>
      </c>
      <c r="N257" s="52" t="str">
        <f>IF(AND('331-CT'!$E$7=TH!H257,OR(L257="331",M257="331")),"331",IF(AND(OR(L257="131",M257="131"),H257='131-CT'!$E$7),"131",""))</f>
        <v>331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6"/>
      <c r="AC257" s="606"/>
      <c r="AD257" s="606"/>
    </row>
    <row r="258" spans="1:30" ht="15.75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40966</v>
      </c>
      <c r="D258" s="184" t="s">
        <v>466</v>
      </c>
      <c r="E258" s="191">
        <v>40966</v>
      </c>
      <c r="F258" s="192" t="s">
        <v>1260</v>
      </c>
      <c r="G258" s="488" t="s">
        <v>603</v>
      </c>
      <c r="H258" s="7" t="s">
        <v>436</v>
      </c>
      <c r="I258" s="252">
        <v>500</v>
      </c>
      <c r="J258" s="252">
        <v>32878</v>
      </c>
      <c r="K258" s="38">
        <v>16439000</v>
      </c>
      <c r="L258" s="194" t="s">
        <v>169</v>
      </c>
      <c r="M258" s="616" t="s">
        <v>8</v>
      </c>
      <c r="N258" s="52" t="str">
        <f>IF(AND('331-CT'!$E$7=TH!H258,OR(L258="331",M258="331")),"331",IF(AND(OR(L258="131",M258="131"),H258='131-CT'!$E$7),"131",""))</f>
        <v>331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B258" s="606"/>
      <c r="AC258" s="606"/>
      <c r="AD258" s="606"/>
    </row>
    <row r="259" spans="1:30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40966</v>
      </c>
      <c r="D259" s="184" t="s">
        <v>466</v>
      </c>
      <c r="E259" s="191">
        <v>40966</v>
      </c>
      <c r="F259" s="192" t="s">
        <v>1261</v>
      </c>
      <c r="G259" s="488" t="s">
        <v>603</v>
      </c>
      <c r="H259" s="7" t="s">
        <v>436</v>
      </c>
      <c r="I259" s="252">
        <v>280</v>
      </c>
      <c r="J259" s="252">
        <v>18840</v>
      </c>
      <c r="K259" s="38">
        <v>5275200</v>
      </c>
      <c r="L259" s="194" t="s">
        <v>169</v>
      </c>
      <c r="M259" s="616" t="s">
        <v>8</v>
      </c>
      <c r="N259" s="52" t="str">
        <f>IF(AND('331-CT'!$E$7=TH!H259,OR(L259="331",M259="331")),"331",IF(AND(OR(L259="131",M259="131"),H259='131-CT'!$E$7),"131",""))</f>
        <v>331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6"/>
      <c r="AC259" s="606"/>
      <c r="AD259" s="606"/>
    </row>
    <row r="260" spans="1:30" s="606" customFormat="1" ht="15.75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40966</v>
      </c>
      <c r="D260" s="184" t="s">
        <v>466</v>
      </c>
      <c r="E260" s="191">
        <v>40966</v>
      </c>
      <c r="F260" s="192" t="s">
        <v>566</v>
      </c>
      <c r="G260" s="488" t="s">
        <v>603</v>
      </c>
      <c r="H260" s="7" t="s">
        <v>436</v>
      </c>
      <c r="I260" s="254"/>
      <c r="J260" s="252"/>
      <c r="K260" s="38">
        <v>3662457</v>
      </c>
      <c r="L260" s="194" t="s">
        <v>9</v>
      </c>
      <c r="M260" s="616" t="s">
        <v>8</v>
      </c>
      <c r="N260" s="52" t="str">
        <f>IF(AND('331-CT'!$E$7=TH!H260,OR(L260="331",M260="331")),"331",IF(AND(OR(L260="131",M260="131"),H260='131-CT'!$E$7),"131",""))</f>
        <v>331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606">
        <v>2</v>
      </c>
      <c r="AB260" s="198"/>
    </row>
    <row r="261" spans="1:30" s="849" customFormat="1" ht="15.75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740">
        <f>E261</f>
        <v>40968</v>
      </c>
      <c r="D261" s="740" t="s">
        <v>367</v>
      </c>
      <c r="E261" s="853">
        <v>40968</v>
      </c>
      <c r="F261" s="741" t="s">
        <v>1584</v>
      </c>
      <c r="G261" s="742"/>
      <c r="H261" s="629"/>
      <c r="I261" s="487"/>
      <c r="J261" s="487"/>
      <c r="K261" s="743">
        <v>9325000</v>
      </c>
      <c r="L261" s="744" t="s">
        <v>84</v>
      </c>
      <c r="M261" s="744" t="s">
        <v>287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606"/>
      <c r="AC261" s="606"/>
      <c r="AD261" s="606"/>
    </row>
    <row r="262" spans="1:30" s="849" customFormat="1" ht="15.75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740">
        <f>E262</f>
        <v>40968</v>
      </c>
      <c r="D262" s="740" t="s">
        <v>367</v>
      </c>
      <c r="E262" s="853">
        <v>40968</v>
      </c>
      <c r="F262" s="741" t="s">
        <v>511</v>
      </c>
      <c r="G262" s="742"/>
      <c r="H262" s="629"/>
      <c r="I262" s="487"/>
      <c r="J262" s="487"/>
      <c r="K262" s="743">
        <v>13450000</v>
      </c>
      <c r="L262" s="744" t="s">
        <v>175</v>
      </c>
      <c r="M262" s="744" t="s">
        <v>287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606"/>
      <c r="AC262" s="606"/>
      <c r="AD262" s="606"/>
    </row>
    <row r="263" spans="1:30" s="849" customFormat="1" ht="15.75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740">
        <f>E263</f>
        <v>40968</v>
      </c>
      <c r="D263" s="740" t="s">
        <v>448</v>
      </c>
      <c r="E263" s="853">
        <v>40968</v>
      </c>
      <c r="F263" s="741" t="str">
        <f>"Thanh toán tiền lương tháng "&amp;MONTH(E263)&amp;"/"&amp;YEAR(E263)</f>
        <v>Thanh toán tiền lương tháng 2/2012</v>
      </c>
      <c r="G263" s="742"/>
      <c r="H263" s="45" t="s">
        <v>684</v>
      </c>
      <c r="I263" s="487"/>
      <c r="J263" s="487"/>
      <c r="K263" s="743">
        <f>K261+K262</f>
        <v>22775000</v>
      </c>
      <c r="L263" s="744" t="s">
        <v>287</v>
      </c>
      <c r="M263" s="744" t="s">
        <v>48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>x</v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606"/>
      <c r="AC263" s="606"/>
      <c r="AD263" s="606"/>
    </row>
    <row r="264" spans="1:30" s="849" customFormat="1" ht="15.75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84">
        <v>40968</v>
      </c>
      <c r="D264" s="184" t="s">
        <v>467</v>
      </c>
      <c r="E264" s="184">
        <v>40968</v>
      </c>
      <c r="F264" s="189" t="s">
        <v>604</v>
      </c>
      <c r="G264" s="617" t="s">
        <v>605</v>
      </c>
      <c r="H264" s="193" t="s">
        <v>606</v>
      </c>
      <c r="I264" s="252">
        <v>200</v>
      </c>
      <c r="J264" s="252">
        <v>13372</v>
      </c>
      <c r="K264" s="615">
        <v>2674400</v>
      </c>
      <c r="L264" s="616" t="s">
        <v>169</v>
      </c>
      <c r="M264" s="61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6"/>
      <c r="AC264" s="606"/>
      <c r="AD264" s="606"/>
    </row>
    <row r="265" spans="1:30" s="849" customFormat="1" ht="15.75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467</v>
      </c>
      <c r="E265" s="191">
        <v>40968</v>
      </c>
      <c r="F265" s="189" t="s">
        <v>607</v>
      </c>
      <c r="G265" s="490" t="s">
        <v>605</v>
      </c>
      <c r="H265" s="7" t="s">
        <v>606</v>
      </c>
      <c r="I265" s="252">
        <v>22</v>
      </c>
      <c r="J265" s="255">
        <v>17626</v>
      </c>
      <c r="K265" s="615">
        <v>387772</v>
      </c>
      <c r="L265" s="194" t="s">
        <v>169</v>
      </c>
      <c r="M265" s="61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6"/>
      <c r="AC265" s="606"/>
      <c r="AD265" s="606"/>
    </row>
    <row r="266" spans="1:30" s="849" customFormat="1" ht="15.75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467</v>
      </c>
      <c r="E266" s="191">
        <v>40968</v>
      </c>
      <c r="F266" s="189" t="s">
        <v>608</v>
      </c>
      <c r="G266" s="490" t="s">
        <v>605</v>
      </c>
      <c r="H266" s="7" t="s">
        <v>606</v>
      </c>
      <c r="I266" s="252">
        <v>180</v>
      </c>
      <c r="J266" s="252">
        <v>23610</v>
      </c>
      <c r="K266" s="615">
        <v>4249800</v>
      </c>
      <c r="L266" s="194" t="s">
        <v>169</v>
      </c>
      <c r="M266" s="61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6"/>
      <c r="AC266" s="198"/>
      <c r="AD266" s="198"/>
    </row>
    <row r="267" spans="1:30" s="849" customFormat="1" ht="15.75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467</v>
      </c>
      <c r="E267" s="191">
        <v>40968</v>
      </c>
      <c r="F267" s="189" t="s">
        <v>609</v>
      </c>
      <c r="G267" s="490" t="s">
        <v>605</v>
      </c>
      <c r="H267" s="7" t="s">
        <v>606</v>
      </c>
      <c r="I267" s="252">
        <v>29</v>
      </c>
      <c r="J267" s="252">
        <v>23827</v>
      </c>
      <c r="K267" s="615">
        <v>690983</v>
      </c>
      <c r="L267" s="194" t="s">
        <v>169</v>
      </c>
      <c r="M267" s="61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6"/>
      <c r="AC267" s="198"/>
      <c r="AD267" s="198"/>
    </row>
    <row r="268" spans="1:30" s="849" customFormat="1" ht="15.75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467</v>
      </c>
      <c r="E268" s="191">
        <v>40968</v>
      </c>
      <c r="F268" s="189" t="s">
        <v>610</v>
      </c>
      <c r="G268" s="490" t="s">
        <v>605</v>
      </c>
      <c r="H268" s="7" t="s">
        <v>606</v>
      </c>
      <c r="I268" s="252">
        <v>230</v>
      </c>
      <c r="J268" s="252">
        <v>20213</v>
      </c>
      <c r="K268" s="615">
        <v>4648990</v>
      </c>
      <c r="L268" s="194" t="s">
        <v>169</v>
      </c>
      <c r="M268" s="61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6"/>
      <c r="AC268" s="198"/>
      <c r="AD268" s="198"/>
    </row>
    <row r="269" spans="1:30" s="849" customFormat="1" ht="15.75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467</v>
      </c>
      <c r="E269" s="191">
        <v>40968</v>
      </c>
      <c r="F269" s="189" t="s">
        <v>611</v>
      </c>
      <c r="G269" s="490" t="s">
        <v>605</v>
      </c>
      <c r="H269" s="7" t="s">
        <v>606</v>
      </c>
      <c r="I269" s="252">
        <v>85</v>
      </c>
      <c r="J269" s="252">
        <v>22185</v>
      </c>
      <c r="K269" s="38">
        <v>1885725</v>
      </c>
      <c r="L269" s="194" t="s">
        <v>169</v>
      </c>
      <c r="M269" s="61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6"/>
      <c r="AC269" s="198"/>
      <c r="AD269" s="198"/>
    </row>
    <row r="270" spans="1:30" s="849" customFormat="1" ht="15.75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467</v>
      </c>
      <c r="E270" s="191">
        <v>40968</v>
      </c>
      <c r="F270" s="189" t="s">
        <v>612</v>
      </c>
      <c r="G270" s="490" t="s">
        <v>605</v>
      </c>
      <c r="H270" s="7" t="s">
        <v>606</v>
      </c>
      <c r="I270" s="252">
        <v>255</v>
      </c>
      <c r="J270" s="252">
        <v>19424</v>
      </c>
      <c r="K270" s="615">
        <v>4953120</v>
      </c>
      <c r="L270" s="194" t="s">
        <v>169</v>
      </c>
      <c r="M270" s="61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6"/>
      <c r="AC270" s="198"/>
      <c r="AD270" s="198"/>
    </row>
    <row r="271" spans="1:30" s="849" customFormat="1" ht="15.75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91">
        <v>40968</v>
      </c>
      <c r="D271" s="184" t="s">
        <v>468</v>
      </c>
      <c r="E271" s="191">
        <v>40968</v>
      </c>
      <c r="F271" s="189" t="s">
        <v>613</v>
      </c>
      <c r="G271" s="490" t="s">
        <v>605</v>
      </c>
      <c r="H271" s="7" t="s">
        <v>606</v>
      </c>
      <c r="I271" s="252">
        <v>35</v>
      </c>
      <c r="J271" s="252">
        <v>21199</v>
      </c>
      <c r="K271" s="615">
        <v>741965</v>
      </c>
      <c r="L271" s="194" t="s">
        <v>169</v>
      </c>
      <c r="M271" s="61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198"/>
      <c r="AB271" s="606"/>
      <c r="AC271" s="198"/>
      <c r="AD271" s="198"/>
    </row>
    <row r="272" spans="1:30" s="849" customFormat="1" ht="15.75" customHeight="1">
      <c r="A272" s="204" t="str">
        <f>IF(B272&lt;&gt;"",IF(AND(B272&gt;=_TM1,B272&lt;=_TM2,OR(TH!L272="1111",TH!M272="1111")),TH!D272,""),"")</f>
        <v/>
      </c>
      <c r="B272" s="36">
        <f t="shared" si="19"/>
        <v>2</v>
      </c>
      <c r="C272" s="191">
        <v>40968</v>
      </c>
      <c r="D272" s="184" t="s">
        <v>468</v>
      </c>
      <c r="E272" s="191">
        <v>40968</v>
      </c>
      <c r="F272" s="189" t="s">
        <v>614</v>
      </c>
      <c r="G272" s="490" t="s">
        <v>605</v>
      </c>
      <c r="H272" s="7" t="s">
        <v>606</v>
      </c>
      <c r="I272" s="252">
        <v>30</v>
      </c>
      <c r="J272" s="252">
        <v>13641</v>
      </c>
      <c r="K272" s="615">
        <v>409230</v>
      </c>
      <c r="L272" s="194" t="s">
        <v>169</v>
      </c>
      <c r="M272" s="61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198"/>
      <c r="AB272" s="606"/>
      <c r="AC272" s="198"/>
      <c r="AD272" s="198"/>
    </row>
    <row r="273" spans="1:30" s="849" customFormat="1" ht="15.75" customHeight="1">
      <c r="A273" s="204" t="str">
        <f>IF(B273&lt;&gt;"",IF(AND(B273&gt;=_TM1,B273&lt;=_TM2,OR(TH!L273="1111",TH!M273="1111")),TH!D273,""),"")</f>
        <v/>
      </c>
      <c r="B273" s="36">
        <f t="shared" si="19"/>
        <v>2</v>
      </c>
      <c r="C273" s="191">
        <v>40968</v>
      </c>
      <c r="D273" s="184" t="s">
        <v>468</v>
      </c>
      <c r="E273" s="191">
        <v>40968</v>
      </c>
      <c r="F273" s="189" t="s">
        <v>615</v>
      </c>
      <c r="G273" s="490" t="s">
        <v>605</v>
      </c>
      <c r="H273" s="7" t="s">
        <v>606</v>
      </c>
      <c r="I273" s="252">
        <v>50</v>
      </c>
      <c r="J273" s="252">
        <v>14161</v>
      </c>
      <c r="K273" s="615">
        <v>708050</v>
      </c>
      <c r="L273" s="194" t="s">
        <v>169</v>
      </c>
      <c r="M273" s="61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198"/>
      <c r="AB273" s="606"/>
      <c r="AC273" s="198"/>
      <c r="AD273" s="198"/>
    </row>
    <row r="274" spans="1:30" s="849" customFormat="1" ht="15.75" customHeight="1">
      <c r="A274" s="204" t="str">
        <f>IF(B274&lt;&gt;"",IF(AND(B274&gt;=_TM1,B274&lt;=_TM2,OR(TH!L274="1111",TH!M274="1111")),TH!D274,""),"")</f>
        <v/>
      </c>
      <c r="B274" s="36">
        <f t="shared" si="19"/>
        <v>2</v>
      </c>
      <c r="C274" s="191">
        <v>40968</v>
      </c>
      <c r="D274" s="184" t="s">
        <v>468</v>
      </c>
      <c r="E274" s="191">
        <v>40968</v>
      </c>
      <c r="F274" s="189" t="s">
        <v>616</v>
      </c>
      <c r="G274" s="490" t="s">
        <v>605</v>
      </c>
      <c r="H274" s="7" t="s">
        <v>606</v>
      </c>
      <c r="I274" s="254">
        <v>70</v>
      </c>
      <c r="J274" s="254">
        <v>14875</v>
      </c>
      <c r="K274" s="615">
        <v>1041250</v>
      </c>
      <c r="L274" s="194" t="s">
        <v>169</v>
      </c>
      <c r="M274" s="61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198"/>
      <c r="AB274" s="606"/>
      <c r="AC274" s="198"/>
      <c r="AD274" s="198"/>
    </row>
    <row r="275" spans="1:30" s="849" customFormat="1" ht="15.75" customHeight="1">
      <c r="A275" s="204" t="str">
        <f>IF(B275&lt;&gt;"",IF(AND(B275&gt;=_TM1,B275&lt;=_TM2,OR(TH!L275="1111",TH!M275="1111")),TH!D275,""),"")</f>
        <v/>
      </c>
      <c r="B275" s="36">
        <f t="shared" si="19"/>
        <v>2</v>
      </c>
      <c r="C275" s="191">
        <v>40968</v>
      </c>
      <c r="D275" s="184" t="s">
        <v>468</v>
      </c>
      <c r="E275" s="191">
        <v>40968</v>
      </c>
      <c r="F275" s="189" t="s">
        <v>617</v>
      </c>
      <c r="G275" s="490" t="s">
        <v>605</v>
      </c>
      <c r="H275" s="7" t="s">
        <v>606</v>
      </c>
      <c r="I275" s="254">
        <v>30</v>
      </c>
      <c r="J275" s="254">
        <v>15385</v>
      </c>
      <c r="K275" s="615">
        <v>461550</v>
      </c>
      <c r="L275" s="194" t="s">
        <v>169</v>
      </c>
      <c r="M275" s="61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198"/>
      <c r="AB275" s="606"/>
      <c r="AC275" s="198"/>
      <c r="AD275" s="198"/>
    </row>
    <row r="276" spans="1:30" s="849" customFormat="1" ht="15.75" customHeight="1">
      <c r="A276" s="204" t="str">
        <f>IF(B276&lt;&gt;"",IF(AND(B276&gt;=_TM1,B276&lt;=_TM2,OR(TH!L276="1111",TH!M276="1111")),TH!D276,""),"")</f>
        <v/>
      </c>
      <c r="B276" s="36">
        <f t="shared" si="19"/>
        <v>2</v>
      </c>
      <c r="C276" s="191">
        <v>40968</v>
      </c>
      <c r="D276" s="184" t="s">
        <v>468</v>
      </c>
      <c r="E276" s="191">
        <v>40968</v>
      </c>
      <c r="F276" s="189" t="s">
        <v>618</v>
      </c>
      <c r="G276" s="490" t="s">
        <v>605</v>
      </c>
      <c r="H276" s="7" t="s">
        <v>606</v>
      </c>
      <c r="I276" s="252">
        <v>40</v>
      </c>
      <c r="J276" s="252">
        <v>13372</v>
      </c>
      <c r="K276" s="615">
        <v>534880</v>
      </c>
      <c r="L276" s="194" t="s">
        <v>169</v>
      </c>
      <c r="M276" s="61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198"/>
      <c r="AB276" s="606"/>
      <c r="AC276" s="198"/>
      <c r="AD276" s="198"/>
    </row>
    <row r="277" spans="1:30" s="849" customFormat="1" ht="15.75" customHeight="1">
      <c r="A277" s="204" t="str">
        <f>IF(B277&lt;&gt;"",IF(AND(B277&gt;=_TM1,B277&lt;=_TM2,OR(TH!L277="1111",TH!M277="1111")),TH!D277,""),"")</f>
        <v/>
      </c>
      <c r="B277" s="36">
        <f t="shared" si="19"/>
        <v>2</v>
      </c>
      <c r="C277" s="191">
        <v>40968</v>
      </c>
      <c r="D277" s="184" t="s">
        <v>468</v>
      </c>
      <c r="E277" s="191">
        <v>40968</v>
      </c>
      <c r="F277" s="189" t="s">
        <v>619</v>
      </c>
      <c r="G277" s="490" t="s">
        <v>605</v>
      </c>
      <c r="H277" s="7" t="s">
        <v>606</v>
      </c>
      <c r="I277" s="252">
        <v>50</v>
      </c>
      <c r="J277" s="252">
        <v>16176</v>
      </c>
      <c r="K277" s="38">
        <v>808800</v>
      </c>
      <c r="L277" s="194" t="s">
        <v>169</v>
      </c>
      <c r="M277" s="61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198"/>
      <c r="AB277" s="606"/>
      <c r="AC277" s="198"/>
      <c r="AD277" s="198"/>
    </row>
    <row r="278" spans="1:30" s="849" customFormat="1" ht="15.75" customHeight="1">
      <c r="A278" s="204" t="str">
        <f>IF(B278&lt;&gt;"",IF(AND(B278&gt;=_TM1,B278&lt;=_TM2,OR(TH!L278="1111",TH!M278="1111")),TH!D278,""),"")</f>
        <v/>
      </c>
      <c r="B278" s="36">
        <f t="shared" si="19"/>
        <v>2</v>
      </c>
      <c r="C278" s="184">
        <v>40968</v>
      </c>
      <c r="D278" s="184" t="s">
        <v>468</v>
      </c>
      <c r="E278" s="184">
        <v>40968</v>
      </c>
      <c r="F278" s="189" t="s">
        <v>620</v>
      </c>
      <c r="G278" s="617" t="s">
        <v>605</v>
      </c>
      <c r="H278" s="193" t="s">
        <v>606</v>
      </c>
      <c r="I278" s="252"/>
      <c r="J278" s="252"/>
      <c r="K278" s="615">
        <v>2419652</v>
      </c>
      <c r="L278" s="616" t="s">
        <v>9</v>
      </c>
      <c r="M278" s="61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606">
        <v>2</v>
      </c>
      <c r="AB278" s="198"/>
      <c r="AC278" s="198"/>
      <c r="AD278" s="198"/>
    </row>
    <row r="279" spans="1:30" s="849" customFormat="1" ht="15.75" customHeight="1">
      <c r="A279" s="204" t="str">
        <f>IF(B279&lt;&gt;"",IF(AND(B279&gt;=_TM1,B279&lt;=_TM2,OR(TH!L279="1111",TH!M279="1111")),TH!D279,""),"")</f>
        <v/>
      </c>
      <c r="B279" s="36">
        <f t="shared" ref="B279:B342" si="22">IF(C279&lt;&gt;"",MONTH(C279),"")</f>
        <v>2</v>
      </c>
      <c r="C279" s="184">
        <v>40968</v>
      </c>
      <c r="D279" s="184" t="s">
        <v>367</v>
      </c>
      <c r="E279" s="184">
        <v>40968</v>
      </c>
      <c r="F279" s="189" t="s">
        <v>1747</v>
      </c>
      <c r="G279" s="617"/>
      <c r="H279" s="193" t="s">
        <v>1574</v>
      </c>
      <c r="I279" s="252"/>
      <c r="J279" s="252"/>
      <c r="K279" s="615">
        <v>839974</v>
      </c>
      <c r="L279" s="616" t="s">
        <v>9</v>
      </c>
      <c r="M279" s="616" t="s">
        <v>17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606"/>
      <c r="AB279" s="198"/>
      <c r="AC279" s="198"/>
      <c r="AD279" s="198"/>
    </row>
    <row r="280" spans="1:30" s="849" customFormat="1" ht="15.75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ref="C280:C303" si="23">E280</f>
        <v>40968</v>
      </c>
      <c r="D280" s="191" t="s">
        <v>1606</v>
      </c>
      <c r="E280" s="191">
        <v>40968</v>
      </c>
      <c r="F280" s="192" t="s">
        <v>1531</v>
      </c>
      <c r="G280" s="490" t="s">
        <v>1521</v>
      </c>
      <c r="H280" s="7" t="s">
        <v>496</v>
      </c>
      <c r="I280" s="252">
        <v>9</v>
      </c>
      <c r="J280" s="252">
        <v>17916</v>
      </c>
      <c r="K280" s="615">
        <f t="shared" ref="K280:K302" si="24">ROUND(I280*J280,0)</f>
        <v>161244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849" customFormat="1" ht="15.75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1606</v>
      </c>
      <c r="E281" s="191">
        <v>40968</v>
      </c>
      <c r="F281" s="192" t="s">
        <v>1530</v>
      </c>
      <c r="G281" s="490" t="s">
        <v>1521</v>
      </c>
      <c r="H281" s="7" t="s">
        <v>496</v>
      </c>
      <c r="I281" s="252">
        <v>2</v>
      </c>
      <c r="J281" s="252">
        <v>5277</v>
      </c>
      <c r="K281" s="615">
        <f t="shared" si="24"/>
        <v>10554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849" customFormat="1" ht="15.75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1606</v>
      </c>
      <c r="E282" s="191">
        <v>40968</v>
      </c>
      <c r="F282" s="192" t="s">
        <v>1497</v>
      </c>
      <c r="G282" s="490" t="s">
        <v>1521</v>
      </c>
      <c r="H282" s="7" t="s">
        <v>496</v>
      </c>
      <c r="I282" s="252">
        <v>2</v>
      </c>
      <c r="J282" s="252">
        <v>7173</v>
      </c>
      <c r="K282" s="615">
        <f t="shared" si="24"/>
        <v>14346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849" customFormat="1" ht="15.75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1606</v>
      </c>
      <c r="E283" s="191">
        <v>40968</v>
      </c>
      <c r="F283" s="192" t="s">
        <v>1528</v>
      </c>
      <c r="G283" s="490" t="s">
        <v>1521</v>
      </c>
      <c r="H283" s="7" t="s">
        <v>496</v>
      </c>
      <c r="I283" s="252">
        <v>3</v>
      </c>
      <c r="J283" s="252">
        <v>10123</v>
      </c>
      <c r="K283" s="615">
        <f t="shared" si="24"/>
        <v>30369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849" customFormat="1" ht="15.75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1606</v>
      </c>
      <c r="E284" s="191">
        <v>40968</v>
      </c>
      <c r="F284" s="192" t="s">
        <v>1511</v>
      </c>
      <c r="G284" s="490" t="s">
        <v>1521</v>
      </c>
      <c r="H284" s="7" t="s">
        <v>496</v>
      </c>
      <c r="I284" s="252">
        <v>2</v>
      </c>
      <c r="J284" s="252">
        <v>7129</v>
      </c>
      <c r="K284" s="615">
        <f t="shared" si="24"/>
        <v>14258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849" customFormat="1" ht="15.75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1606</v>
      </c>
      <c r="E285" s="191">
        <v>40968</v>
      </c>
      <c r="F285" s="192" t="s">
        <v>1527</v>
      </c>
      <c r="G285" s="490" t="s">
        <v>1521</v>
      </c>
      <c r="H285" s="7" t="s">
        <v>496</v>
      </c>
      <c r="I285" s="252">
        <v>2</v>
      </c>
      <c r="J285" s="252">
        <v>10349</v>
      </c>
      <c r="K285" s="615">
        <f t="shared" si="24"/>
        <v>20698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849" customFormat="1" ht="15.75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1606</v>
      </c>
      <c r="E286" s="191">
        <v>40968</v>
      </c>
      <c r="F286" s="870" t="s">
        <v>1529</v>
      </c>
      <c r="G286" s="490" t="s">
        <v>1521</v>
      </c>
      <c r="H286" s="7" t="s">
        <v>496</v>
      </c>
      <c r="I286" s="252">
        <v>2</v>
      </c>
      <c r="J286" s="252">
        <v>12312</v>
      </c>
      <c r="K286" s="615">
        <f t="shared" si="24"/>
        <v>24624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849" customFormat="1" ht="15.75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1606</v>
      </c>
      <c r="E287" s="191">
        <v>40968</v>
      </c>
      <c r="F287" s="192" t="s">
        <v>1512</v>
      </c>
      <c r="G287" s="490" t="s">
        <v>1521</v>
      </c>
      <c r="H287" s="7" t="s">
        <v>496</v>
      </c>
      <c r="I287" s="252">
        <v>66</v>
      </c>
      <c r="J287" s="252">
        <v>8504</v>
      </c>
      <c r="K287" s="615">
        <f t="shared" si="24"/>
        <v>561264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849" customFormat="1" ht="15.75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1606</v>
      </c>
      <c r="E288" s="191">
        <v>40968</v>
      </c>
      <c r="F288" s="192" t="s">
        <v>1514</v>
      </c>
      <c r="G288" s="490" t="s">
        <v>1521</v>
      </c>
      <c r="H288" s="7" t="s">
        <v>496</v>
      </c>
      <c r="I288" s="252">
        <v>1</v>
      </c>
      <c r="J288" s="252">
        <v>12669</v>
      </c>
      <c r="K288" s="615">
        <f t="shared" si="24"/>
        <v>12669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849" customFormat="1" ht="15.75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1606</v>
      </c>
      <c r="E289" s="191">
        <v>40968</v>
      </c>
      <c r="F289" s="192" t="s">
        <v>1504</v>
      </c>
      <c r="G289" s="490" t="s">
        <v>1521</v>
      </c>
      <c r="H289" s="7" t="s">
        <v>496</v>
      </c>
      <c r="I289" s="252">
        <v>68</v>
      </c>
      <c r="J289" s="252">
        <v>9684</v>
      </c>
      <c r="K289" s="615">
        <f t="shared" si="24"/>
        <v>658512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849" customFormat="1" ht="15.75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1606</v>
      </c>
      <c r="E290" s="191">
        <v>40968</v>
      </c>
      <c r="F290" s="192" t="s">
        <v>1505</v>
      </c>
      <c r="G290" s="490" t="s">
        <v>1521</v>
      </c>
      <c r="H290" s="7" t="s">
        <v>496</v>
      </c>
      <c r="I290" s="252">
        <v>136</v>
      </c>
      <c r="J290" s="252">
        <v>10690</v>
      </c>
      <c r="K290" s="615">
        <f t="shared" si="24"/>
        <v>1453840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849" customFormat="1" ht="15.75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1606</v>
      </c>
      <c r="E291" s="191">
        <v>40968</v>
      </c>
      <c r="F291" s="192" t="s">
        <v>1525</v>
      </c>
      <c r="G291" s="490" t="s">
        <v>1521</v>
      </c>
      <c r="H291" s="7" t="s">
        <v>496</v>
      </c>
      <c r="I291" s="252">
        <v>52</v>
      </c>
      <c r="J291" s="252">
        <v>11054</v>
      </c>
      <c r="K291" s="615">
        <f t="shared" si="24"/>
        <v>574808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849" customFormat="1" ht="15.75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1607</v>
      </c>
      <c r="E292" s="191">
        <v>40968</v>
      </c>
      <c r="F292" s="192" t="s">
        <v>1506</v>
      </c>
      <c r="G292" s="490" t="s">
        <v>1521</v>
      </c>
      <c r="H292" s="7" t="s">
        <v>496</v>
      </c>
      <c r="I292" s="252">
        <v>532</v>
      </c>
      <c r="J292" s="252">
        <v>13978</v>
      </c>
      <c r="K292" s="615">
        <f t="shared" si="24"/>
        <v>7436296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849" customFormat="1" ht="15.75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1607</v>
      </c>
      <c r="E293" s="191">
        <v>40968</v>
      </c>
      <c r="F293" s="192" t="s">
        <v>1496</v>
      </c>
      <c r="G293" s="490" t="s">
        <v>1521</v>
      </c>
      <c r="H293" s="7" t="s">
        <v>496</v>
      </c>
      <c r="I293" s="252">
        <v>451</v>
      </c>
      <c r="J293" s="252">
        <v>14349</v>
      </c>
      <c r="K293" s="615">
        <f t="shared" si="24"/>
        <v>6471399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849" customFormat="1" ht="15.75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1607</v>
      </c>
      <c r="E294" s="191">
        <v>40968</v>
      </c>
      <c r="F294" s="192" t="s">
        <v>1510</v>
      </c>
      <c r="G294" s="490" t="s">
        <v>1521</v>
      </c>
      <c r="H294" s="7" t="s">
        <v>496</v>
      </c>
      <c r="I294" s="252">
        <v>4</v>
      </c>
      <c r="J294" s="252">
        <v>14949</v>
      </c>
      <c r="K294" s="615">
        <f t="shared" si="24"/>
        <v>59796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849" customFormat="1" ht="15.75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1607</v>
      </c>
      <c r="E295" s="191">
        <v>40968</v>
      </c>
      <c r="F295" s="192" t="s">
        <v>1526</v>
      </c>
      <c r="G295" s="490" t="s">
        <v>1521</v>
      </c>
      <c r="H295" s="7" t="s">
        <v>496</v>
      </c>
      <c r="I295" s="252">
        <v>346</v>
      </c>
      <c r="J295" s="252">
        <v>17110</v>
      </c>
      <c r="K295" s="615">
        <f t="shared" si="24"/>
        <v>5920060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849" customFormat="1" ht="15.75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1607</v>
      </c>
      <c r="E296" s="191">
        <v>40968</v>
      </c>
      <c r="F296" s="192" t="s">
        <v>1522</v>
      </c>
      <c r="G296" s="490" t="s">
        <v>1521</v>
      </c>
      <c r="H296" s="7" t="s">
        <v>496</v>
      </c>
      <c r="I296" s="252">
        <v>196</v>
      </c>
      <c r="J296" s="252">
        <v>18107</v>
      </c>
      <c r="K296" s="615">
        <f t="shared" si="24"/>
        <v>3548972</v>
      </c>
      <c r="L296" s="194" t="s">
        <v>284</v>
      </c>
      <c r="M296" s="194" t="s">
        <v>185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211"/>
      <c r="AC296" s="211"/>
      <c r="AD296" s="211"/>
    </row>
    <row r="297" spans="1:30" s="849" customFormat="1" ht="15.75" customHeight="1">
      <c r="A297" s="204" t="str">
        <f>IF(B297&lt;&gt;"",IF(AND(B297&gt;=_TM1,B297&lt;=_TM2,OR(TH!L297="1111",TH!M297="1111")),TH!D297,""),"")</f>
        <v/>
      </c>
      <c r="B297" s="36">
        <f t="shared" si="22"/>
        <v>2</v>
      </c>
      <c r="C297" s="191">
        <f t="shared" si="23"/>
        <v>40968</v>
      </c>
      <c r="D297" s="191" t="s">
        <v>1607</v>
      </c>
      <c r="E297" s="191">
        <v>40968</v>
      </c>
      <c r="F297" s="192" t="s">
        <v>1513</v>
      </c>
      <c r="G297" s="490" t="s">
        <v>1521</v>
      </c>
      <c r="H297" s="7" t="s">
        <v>496</v>
      </c>
      <c r="I297" s="252">
        <v>50</v>
      </c>
      <c r="J297" s="252">
        <v>16833</v>
      </c>
      <c r="K297" s="615">
        <f t="shared" si="24"/>
        <v>841650</v>
      </c>
      <c r="L297" s="194" t="s">
        <v>284</v>
      </c>
      <c r="M297" s="194" t="s">
        <v>185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211"/>
      <c r="AC297" s="211"/>
      <c r="AD297" s="211"/>
    </row>
    <row r="298" spans="1:30" s="849" customFormat="1" ht="15.75" customHeight="1">
      <c r="A298" s="204" t="str">
        <f>IF(B298&lt;&gt;"",IF(AND(B298&gt;=_TM1,B298&lt;=_TM2,OR(TH!L298="1111",TH!M298="1111")),TH!D298,""),"")</f>
        <v/>
      </c>
      <c r="B298" s="36">
        <f t="shared" si="22"/>
        <v>2</v>
      </c>
      <c r="C298" s="191">
        <f t="shared" si="23"/>
        <v>40968</v>
      </c>
      <c r="D298" s="191" t="s">
        <v>1607</v>
      </c>
      <c r="E298" s="191">
        <v>40968</v>
      </c>
      <c r="F298" s="192" t="s">
        <v>1516</v>
      </c>
      <c r="G298" s="490" t="s">
        <v>1521</v>
      </c>
      <c r="H298" s="7" t="s">
        <v>496</v>
      </c>
      <c r="I298" s="252">
        <v>30</v>
      </c>
      <c r="J298" s="252">
        <v>19769</v>
      </c>
      <c r="K298" s="615">
        <f t="shared" si="24"/>
        <v>593070</v>
      </c>
      <c r="L298" s="194" t="s">
        <v>284</v>
      </c>
      <c r="M298" s="194" t="s">
        <v>185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211"/>
      <c r="AC298" s="211"/>
      <c r="AD298" s="211"/>
    </row>
    <row r="299" spans="1:30" s="849" customFormat="1" ht="15.75" customHeight="1">
      <c r="A299" s="204" t="str">
        <f>IF(B299&lt;&gt;"",IF(AND(B299&gt;=_TM1,B299&lt;=_TM2,OR(TH!L299="1111",TH!M299="1111")),TH!D299,""),"")</f>
        <v/>
      </c>
      <c r="B299" s="36">
        <f t="shared" si="22"/>
        <v>2</v>
      </c>
      <c r="C299" s="191">
        <f t="shared" si="23"/>
        <v>40968</v>
      </c>
      <c r="D299" s="191" t="s">
        <v>1607</v>
      </c>
      <c r="E299" s="191">
        <v>40968</v>
      </c>
      <c r="F299" s="192" t="s">
        <v>1523</v>
      </c>
      <c r="G299" s="490" t="s">
        <v>1521</v>
      </c>
      <c r="H299" s="7" t="s">
        <v>496</v>
      </c>
      <c r="I299" s="252">
        <v>63</v>
      </c>
      <c r="J299" s="252">
        <v>15249</v>
      </c>
      <c r="K299" s="615">
        <f t="shared" si="24"/>
        <v>960687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849" customFormat="1" ht="15.75" customHeight="1">
      <c r="A300" s="204" t="str">
        <f>IF(B300&lt;&gt;"",IF(AND(B300&gt;=_TM1,B300&lt;=_TM2,OR(TH!L300="1111",TH!M300="1111")),TH!D300,""),"")</f>
        <v/>
      </c>
      <c r="B300" s="36">
        <f t="shared" si="22"/>
        <v>2</v>
      </c>
      <c r="C300" s="191">
        <f t="shared" si="23"/>
        <v>40968</v>
      </c>
      <c r="D300" s="191" t="s">
        <v>1607</v>
      </c>
      <c r="E300" s="191">
        <v>40968</v>
      </c>
      <c r="F300" s="192" t="s">
        <v>1509</v>
      </c>
      <c r="G300" s="490" t="s">
        <v>1521</v>
      </c>
      <c r="H300" s="7" t="s">
        <v>496</v>
      </c>
      <c r="I300" s="252">
        <v>165</v>
      </c>
      <c r="J300" s="252">
        <v>15732</v>
      </c>
      <c r="K300" s="615">
        <f t="shared" si="24"/>
        <v>2595780</v>
      </c>
      <c r="L300" s="194" t="s">
        <v>284</v>
      </c>
      <c r="M300" s="194" t="s">
        <v>185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211"/>
      <c r="AC300" s="211"/>
      <c r="AD300" s="211"/>
    </row>
    <row r="301" spans="1:30" s="849" customFormat="1" ht="15.75" customHeight="1">
      <c r="A301" s="204" t="str">
        <f>IF(B301&lt;&gt;"",IF(AND(B301&gt;=_TM1,B301&lt;=_TM2,OR(TH!L301="1111",TH!M301="1111")),TH!D301,""),"")</f>
        <v/>
      </c>
      <c r="B301" s="36">
        <f t="shared" si="22"/>
        <v>2</v>
      </c>
      <c r="C301" s="191">
        <f t="shared" si="23"/>
        <v>40968</v>
      </c>
      <c r="D301" s="191" t="s">
        <v>1607</v>
      </c>
      <c r="E301" s="191">
        <v>40968</v>
      </c>
      <c r="F301" s="192" t="s">
        <v>1507</v>
      </c>
      <c r="G301" s="490" t="s">
        <v>1521</v>
      </c>
      <c r="H301" s="7" t="s">
        <v>496</v>
      </c>
      <c r="I301" s="252">
        <v>1</v>
      </c>
      <c r="J301" s="252">
        <v>16401</v>
      </c>
      <c r="K301" s="615">
        <f t="shared" si="24"/>
        <v>16401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849" customFormat="1" ht="15.75" customHeight="1">
      <c r="A302" s="204" t="str">
        <f>IF(B302&lt;&gt;"",IF(AND(B302&gt;=_TM1,B302&lt;=_TM2,OR(TH!L302="1111",TH!M302="1111")),TH!D302,""),"")</f>
        <v/>
      </c>
      <c r="B302" s="36">
        <f t="shared" si="22"/>
        <v>2</v>
      </c>
      <c r="C302" s="191">
        <f t="shared" si="23"/>
        <v>40968</v>
      </c>
      <c r="D302" s="191" t="s">
        <v>1607</v>
      </c>
      <c r="E302" s="191">
        <v>40968</v>
      </c>
      <c r="F302" s="192" t="s">
        <v>1524</v>
      </c>
      <c r="G302" s="490" t="s">
        <v>1521</v>
      </c>
      <c r="H302" s="7" t="s">
        <v>496</v>
      </c>
      <c r="I302" s="252">
        <v>50</v>
      </c>
      <c r="J302" s="252">
        <v>20520</v>
      </c>
      <c r="K302" s="615">
        <f t="shared" si="24"/>
        <v>1026000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22"/>
        <v>2</v>
      </c>
      <c r="C303" s="191">
        <f t="shared" si="23"/>
        <v>40968</v>
      </c>
      <c r="D303" s="191" t="s">
        <v>1607</v>
      </c>
      <c r="E303" s="191">
        <v>40968</v>
      </c>
      <c r="F303" s="192" t="s">
        <v>555</v>
      </c>
      <c r="G303" s="490" t="s">
        <v>1521</v>
      </c>
      <c r="H303" s="7" t="s">
        <v>496</v>
      </c>
      <c r="I303" s="252"/>
      <c r="J303" s="252"/>
      <c r="K303" s="615">
        <v>3300731</v>
      </c>
      <c r="L303" s="194" t="s">
        <v>284</v>
      </c>
      <c r="M303" s="194" t="s">
        <v>495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198"/>
      <c r="AB303" s="198"/>
      <c r="AC303" s="198"/>
      <c r="AD303" s="198"/>
    </row>
    <row r="304" spans="1:30" s="606" customFormat="1" ht="15.75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v>40970</v>
      </c>
      <c r="D304" s="184" t="s">
        <v>449</v>
      </c>
      <c r="E304" s="191">
        <v>40970</v>
      </c>
      <c r="F304" s="192" t="s">
        <v>621</v>
      </c>
      <c r="G304" s="488" t="s">
        <v>622</v>
      </c>
      <c r="H304" s="45" t="s">
        <v>623</v>
      </c>
      <c r="I304" s="252"/>
      <c r="J304" s="252"/>
      <c r="K304" s="38">
        <v>3800000</v>
      </c>
      <c r="L304" s="194" t="s">
        <v>84</v>
      </c>
      <c r="M304" s="616" t="s">
        <v>48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>x</v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198"/>
      <c r="AB304" s="198"/>
      <c r="AC304" s="198"/>
      <c r="AD304" s="198"/>
    </row>
    <row r="305" spans="1:30" s="849" customFormat="1" ht="15.75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v>40970</v>
      </c>
      <c r="D305" s="184" t="s">
        <v>449</v>
      </c>
      <c r="E305" s="191">
        <v>40970</v>
      </c>
      <c r="F305" s="192" t="s">
        <v>624</v>
      </c>
      <c r="G305" s="488" t="s">
        <v>622</v>
      </c>
      <c r="H305" s="45" t="s">
        <v>623</v>
      </c>
      <c r="I305" s="254"/>
      <c r="J305" s="252"/>
      <c r="K305" s="38">
        <v>380000</v>
      </c>
      <c r="L305" s="194" t="s">
        <v>9</v>
      </c>
      <c r="M305" s="616" t="s">
        <v>48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198">
        <v>3</v>
      </c>
      <c r="AB305" s="198"/>
      <c r="AC305" s="198"/>
      <c r="AD305" s="198"/>
    </row>
    <row r="306" spans="1:30" s="849" customFormat="1" ht="15.75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ref="C306:C317" si="25">E306</f>
        <v>40971</v>
      </c>
      <c r="D306" s="191" t="s">
        <v>1608</v>
      </c>
      <c r="E306" s="191">
        <v>40971</v>
      </c>
      <c r="F306" s="192" t="s">
        <v>1489</v>
      </c>
      <c r="G306" s="490" t="s">
        <v>940</v>
      </c>
      <c r="H306" s="7" t="s">
        <v>500</v>
      </c>
      <c r="I306" s="252">
        <v>490</v>
      </c>
      <c r="J306" s="252">
        <v>12790</v>
      </c>
      <c r="K306" s="615">
        <f>ROUND(I306*J306,0)</f>
        <v>6267100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849" customFormat="1" ht="15.75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191" t="s">
        <v>1608</v>
      </c>
      <c r="E307" s="191">
        <v>40971</v>
      </c>
      <c r="F307" s="192" t="s">
        <v>555</v>
      </c>
      <c r="G307" s="490" t="s">
        <v>940</v>
      </c>
      <c r="H307" s="7" t="s">
        <v>500</v>
      </c>
      <c r="I307" s="252"/>
      <c r="J307" s="252"/>
      <c r="K307" s="615">
        <v>626710</v>
      </c>
      <c r="L307" s="194" t="s">
        <v>284</v>
      </c>
      <c r="M307" s="194" t="s">
        <v>495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198"/>
      <c r="AB307" s="198"/>
      <c r="AC307" s="198"/>
      <c r="AD307" s="198"/>
    </row>
    <row r="308" spans="1:30" s="849" customFormat="1" ht="15.75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86" t="s">
        <v>1609</v>
      </c>
      <c r="E308" s="886">
        <v>40971</v>
      </c>
      <c r="F308" s="192" t="s">
        <v>1478</v>
      </c>
      <c r="G308" s="888" t="s">
        <v>941</v>
      </c>
      <c r="H308" s="193" t="s">
        <v>497</v>
      </c>
      <c r="I308" s="252">
        <v>45</v>
      </c>
      <c r="J308" s="252">
        <v>44600</v>
      </c>
      <c r="K308" s="615">
        <f t="shared" ref="K308:K316" si="26">ROUND(I308*J308,0)</f>
        <v>2007000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849" customFormat="1" ht="15.75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86" t="s">
        <v>1609</v>
      </c>
      <c r="E309" s="886">
        <v>40971</v>
      </c>
      <c r="F309" s="192" t="s">
        <v>1479</v>
      </c>
      <c r="G309" s="888" t="s">
        <v>941</v>
      </c>
      <c r="H309" s="193" t="s">
        <v>497</v>
      </c>
      <c r="I309" s="252">
        <v>420</v>
      </c>
      <c r="J309" s="252">
        <v>24800</v>
      </c>
      <c r="K309" s="615">
        <f t="shared" si="26"/>
        <v>10416000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849" customFormat="1" ht="15.75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86" t="s">
        <v>1609</v>
      </c>
      <c r="E310" s="886">
        <v>40971</v>
      </c>
      <c r="F310" s="192" t="s">
        <v>1480</v>
      </c>
      <c r="G310" s="888" t="s">
        <v>941</v>
      </c>
      <c r="H310" s="193" t="s">
        <v>497</v>
      </c>
      <c r="I310" s="252">
        <v>15</v>
      </c>
      <c r="J310" s="252">
        <v>51500</v>
      </c>
      <c r="K310" s="615">
        <f t="shared" si="26"/>
        <v>772500</v>
      </c>
      <c r="L310" s="194" t="s">
        <v>284</v>
      </c>
      <c r="M310" s="194" t="s">
        <v>185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211"/>
      <c r="AC310" s="211"/>
      <c r="AD310" s="211"/>
    </row>
    <row r="311" spans="1:30" s="849" customFormat="1" ht="15.75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f t="shared" si="25"/>
        <v>40971</v>
      </c>
      <c r="D311" s="886" t="s">
        <v>1609</v>
      </c>
      <c r="E311" s="886">
        <v>40971</v>
      </c>
      <c r="F311" s="192" t="s">
        <v>1481</v>
      </c>
      <c r="G311" s="888" t="s">
        <v>941</v>
      </c>
      <c r="H311" s="193" t="s">
        <v>497</v>
      </c>
      <c r="I311" s="252">
        <v>45</v>
      </c>
      <c r="J311" s="252">
        <v>36500</v>
      </c>
      <c r="K311" s="615">
        <f t="shared" si="26"/>
        <v>1642500</v>
      </c>
      <c r="L311" s="194" t="s">
        <v>284</v>
      </c>
      <c r="M311" s="194" t="s">
        <v>185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211"/>
      <c r="AC311" s="211"/>
      <c r="AD311" s="211"/>
    </row>
    <row r="312" spans="1:30" s="849" customFormat="1" ht="15.75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si="25"/>
        <v>40971</v>
      </c>
      <c r="D312" s="886" t="s">
        <v>1609</v>
      </c>
      <c r="E312" s="886">
        <v>40971</v>
      </c>
      <c r="F312" s="192" t="s">
        <v>1482</v>
      </c>
      <c r="G312" s="888" t="s">
        <v>941</v>
      </c>
      <c r="H312" s="193" t="s">
        <v>497</v>
      </c>
      <c r="I312" s="252">
        <v>100</v>
      </c>
      <c r="J312" s="252">
        <v>27692</v>
      </c>
      <c r="K312" s="615">
        <f t="shared" si="26"/>
        <v>2769200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849" customFormat="1" ht="15.75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5"/>
        <v>40971</v>
      </c>
      <c r="D313" s="886" t="s">
        <v>1609</v>
      </c>
      <c r="E313" s="886">
        <v>40971</v>
      </c>
      <c r="F313" s="192" t="s">
        <v>1483</v>
      </c>
      <c r="G313" s="888" t="s">
        <v>941</v>
      </c>
      <c r="H313" s="193" t="s">
        <v>497</v>
      </c>
      <c r="I313" s="252">
        <v>47</v>
      </c>
      <c r="J313" s="252">
        <v>18800</v>
      </c>
      <c r="K313" s="615">
        <f t="shared" si="26"/>
        <v>883600</v>
      </c>
      <c r="L313" s="194" t="s">
        <v>284</v>
      </c>
      <c r="M313" s="194" t="s">
        <v>185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211"/>
      <c r="AC313" s="211"/>
      <c r="AD313" s="211"/>
    </row>
    <row r="314" spans="1:30" s="849" customFormat="1" ht="15.75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5"/>
        <v>40971</v>
      </c>
      <c r="D314" s="886" t="s">
        <v>1609</v>
      </c>
      <c r="E314" s="886">
        <v>40971</v>
      </c>
      <c r="F314" s="192" t="s">
        <v>1111</v>
      </c>
      <c r="G314" s="888" t="s">
        <v>941</v>
      </c>
      <c r="H314" s="193" t="s">
        <v>497</v>
      </c>
      <c r="I314" s="252">
        <v>30</v>
      </c>
      <c r="J314" s="252">
        <v>1200</v>
      </c>
      <c r="K314" s="615">
        <f t="shared" si="26"/>
        <v>36000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849" customFormat="1" ht="15.75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5"/>
        <v>40971</v>
      </c>
      <c r="D315" s="886" t="s">
        <v>1609</v>
      </c>
      <c r="E315" s="886">
        <v>40971</v>
      </c>
      <c r="F315" s="192" t="s">
        <v>1484</v>
      </c>
      <c r="G315" s="888" t="s">
        <v>941</v>
      </c>
      <c r="H315" s="193" t="s">
        <v>497</v>
      </c>
      <c r="I315" s="252">
        <v>20</v>
      </c>
      <c r="J315" s="252">
        <v>36700</v>
      </c>
      <c r="K315" s="615">
        <f t="shared" si="26"/>
        <v>734000</v>
      </c>
      <c r="L315" s="194" t="s">
        <v>284</v>
      </c>
      <c r="M315" s="194" t="s">
        <v>185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211"/>
      <c r="AC315" s="211"/>
      <c r="AD315" s="211"/>
    </row>
    <row r="316" spans="1:30" s="849" customFormat="1" ht="15.75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5"/>
        <v>40971</v>
      </c>
      <c r="D316" s="886" t="s">
        <v>1609</v>
      </c>
      <c r="E316" s="886">
        <v>40971</v>
      </c>
      <c r="F316" s="192" t="s">
        <v>1485</v>
      </c>
      <c r="G316" s="888" t="s">
        <v>941</v>
      </c>
      <c r="H316" s="193" t="s">
        <v>497</v>
      </c>
      <c r="I316" s="252">
        <v>257</v>
      </c>
      <c r="J316" s="252">
        <v>2900</v>
      </c>
      <c r="K316" s="615">
        <f t="shared" si="26"/>
        <v>745300</v>
      </c>
      <c r="L316" s="194" t="s">
        <v>284</v>
      </c>
      <c r="M316" s="194" t="s">
        <v>185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211"/>
      <c r="AC316" s="211"/>
      <c r="AD316" s="211"/>
    </row>
    <row r="317" spans="1:30" s="849" customFormat="1" ht="15.75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f t="shared" si="25"/>
        <v>40971</v>
      </c>
      <c r="D317" s="886" t="s">
        <v>1609</v>
      </c>
      <c r="E317" s="886">
        <v>40971</v>
      </c>
      <c r="F317" s="192" t="s">
        <v>555</v>
      </c>
      <c r="G317" s="888" t="s">
        <v>941</v>
      </c>
      <c r="H317" s="193" t="s">
        <v>497</v>
      </c>
      <c r="I317" s="252"/>
      <c r="J317" s="252"/>
      <c r="K317" s="615">
        <v>2000610</v>
      </c>
      <c r="L317" s="194" t="s">
        <v>284</v>
      </c>
      <c r="M317" s="194" t="s">
        <v>495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906"/>
      <c r="AC317" s="906">
        <f>SUM(K308:K316)-AB317</f>
        <v>20006100</v>
      </c>
      <c r="AD317" s="198"/>
    </row>
    <row r="318" spans="1:30" s="849" customFormat="1" ht="15.75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40973</v>
      </c>
      <c r="D318" s="184" t="s">
        <v>363</v>
      </c>
      <c r="E318" s="191">
        <v>40973</v>
      </c>
      <c r="F318" s="870" t="s">
        <v>365</v>
      </c>
      <c r="G318" s="488" t="s">
        <v>361</v>
      </c>
      <c r="H318" s="7" t="s">
        <v>497</v>
      </c>
      <c r="I318" s="254"/>
      <c r="J318" s="252"/>
      <c r="K318" s="38">
        <v>13247000</v>
      </c>
      <c r="L318" s="194" t="s">
        <v>24</v>
      </c>
      <c r="M318" s="616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849" customFormat="1" ht="15.75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4" si="27">E319</f>
        <v>40974</v>
      </c>
      <c r="D319" s="191" t="s">
        <v>1610</v>
      </c>
      <c r="E319" s="191">
        <v>40974</v>
      </c>
      <c r="F319" s="192" t="s">
        <v>1490</v>
      </c>
      <c r="G319" s="490" t="s">
        <v>942</v>
      </c>
      <c r="H319" s="193" t="s">
        <v>939</v>
      </c>
      <c r="I319" s="252">
        <v>230</v>
      </c>
      <c r="J319" s="252">
        <v>9470</v>
      </c>
      <c r="K319" s="615">
        <f>ROUND(I319*J319,0)</f>
        <v>2178100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849" customFormat="1" ht="15.75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7"/>
        <v>40974</v>
      </c>
      <c r="D320" s="191" t="s">
        <v>1610</v>
      </c>
      <c r="E320" s="191">
        <v>40974</v>
      </c>
      <c r="F320" s="192" t="s">
        <v>555</v>
      </c>
      <c r="G320" s="490" t="s">
        <v>942</v>
      </c>
      <c r="H320" s="193" t="s">
        <v>939</v>
      </c>
      <c r="I320" s="252"/>
      <c r="J320" s="252"/>
      <c r="K320" s="615">
        <v>217810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849" customFormat="1" ht="15.75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7"/>
        <v>40974</v>
      </c>
      <c r="D321" s="191" t="s">
        <v>1645</v>
      </c>
      <c r="E321" s="191">
        <v>40974</v>
      </c>
      <c r="F321" s="192" t="s">
        <v>365</v>
      </c>
      <c r="G321" s="490" t="s">
        <v>942</v>
      </c>
      <c r="H321" s="193" t="s">
        <v>939</v>
      </c>
      <c r="I321" s="252"/>
      <c r="J321" s="252"/>
      <c r="K321" s="615">
        <v>2395910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849" customFormat="1" ht="15.75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7"/>
        <v>40974</v>
      </c>
      <c r="D322" s="191" t="s">
        <v>1611</v>
      </c>
      <c r="E322" s="191">
        <v>40974</v>
      </c>
      <c r="F322" s="192" t="s">
        <v>1155</v>
      </c>
      <c r="G322" s="490" t="s">
        <v>943</v>
      </c>
      <c r="H322" s="193" t="s">
        <v>939</v>
      </c>
      <c r="I322" s="252">
        <v>100</v>
      </c>
      <c r="J322" s="252">
        <v>18000</v>
      </c>
      <c r="K322" s="615">
        <f>ROUND(I322*J322,0)</f>
        <v>1800000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849" customFormat="1" ht="15.75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7"/>
        <v>40974</v>
      </c>
      <c r="D323" s="191" t="s">
        <v>1611</v>
      </c>
      <c r="E323" s="191">
        <v>40974</v>
      </c>
      <c r="F323" s="192" t="s">
        <v>555</v>
      </c>
      <c r="G323" s="490" t="s">
        <v>943</v>
      </c>
      <c r="H323" s="193" t="s">
        <v>939</v>
      </c>
      <c r="I323" s="252"/>
      <c r="J323" s="252"/>
      <c r="K323" s="615">
        <v>180000</v>
      </c>
      <c r="L323" s="194" t="s">
        <v>284</v>
      </c>
      <c r="M323" s="194" t="s">
        <v>495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198"/>
      <c r="AB323" s="198"/>
      <c r="AC323" s="198"/>
      <c r="AD323" s="198"/>
    </row>
    <row r="324" spans="1:30" s="849" customFormat="1" ht="15.75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7"/>
        <v>40974</v>
      </c>
      <c r="D324" s="191" t="s">
        <v>1646</v>
      </c>
      <c r="E324" s="191">
        <v>40974</v>
      </c>
      <c r="F324" s="192" t="s">
        <v>365</v>
      </c>
      <c r="G324" s="490" t="s">
        <v>943</v>
      </c>
      <c r="H324" s="193" t="s">
        <v>939</v>
      </c>
      <c r="I324" s="252"/>
      <c r="J324" s="252"/>
      <c r="K324" s="615">
        <v>1980000</v>
      </c>
      <c r="L324" s="194" t="s">
        <v>48</v>
      </c>
      <c r="M324" s="194" t="s">
        <v>284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198"/>
      <c r="AB324" s="198"/>
      <c r="AC324" s="198"/>
      <c r="AD324" s="198"/>
    </row>
    <row r="325" spans="1:30" s="849" customFormat="1" ht="15.75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v>40975</v>
      </c>
      <c r="D325" s="184" t="s">
        <v>363</v>
      </c>
      <c r="E325" s="191">
        <v>40975</v>
      </c>
      <c r="F325" s="192" t="s">
        <v>365</v>
      </c>
      <c r="G325" s="488" t="s">
        <v>361</v>
      </c>
      <c r="H325" s="7" t="s">
        <v>496</v>
      </c>
      <c r="I325" s="254"/>
      <c r="J325" s="252"/>
      <c r="K325" s="38">
        <v>77076011</v>
      </c>
      <c r="L325" s="194" t="s">
        <v>24</v>
      </c>
      <c r="M325" s="616" t="s">
        <v>284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>x</v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198"/>
      <c r="AB325" s="198"/>
      <c r="AC325" s="198"/>
      <c r="AD325" s="198"/>
    </row>
    <row r="326" spans="1:30" s="849" customFormat="1" ht="15.75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v>40977</v>
      </c>
      <c r="D326" s="184" t="s">
        <v>363</v>
      </c>
      <c r="E326" s="191">
        <v>40977</v>
      </c>
      <c r="F326" s="192" t="s">
        <v>365</v>
      </c>
      <c r="G326" s="488" t="s">
        <v>361</v>
      </c>
      <c r="H326" s="7" t="s">
        <v>500</v>
      </c>
      <c r="I326" s="254"/>
      <c r="J326" s="252"/>
      <c r="K326" s="38">
        <v>10191500</v>
      </c>
      <c r="L326" s="194" t="s">
        <v>24</v>
      </c>
      <c r="M326" s="616" t="s">
        <v>284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>x</v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849" customFormat="1" ht="15.75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91">
        <f t="shared" ref="C327:C334" si="28">E327</f>
        <v>40977</v>
      </c>
      <c r="D327" s="191" t="s">
        <v>1612</v>
      </c>
      <c r="E327" s="191">
        <v>40977</v>
      </c>
      <c r="F327" s="192" t="s">
        <v>1491</v>
      </c>
      <c r="G327" s="490" t="s">
        <v>944</v>
      </c>
      <c r="H327" s="193" t="s">
        <v>945</v>
      </c>
      <c r="I327" s="252">
        <v>497</v>
      </c>
      <c r="J327" s="252">
        <v>13700</v>
      </c>
      <c r="K327" s="615">
        <f>ROUND(I327*J327,0)</f>
        <v>6808900</v>
      </c>
      <c r="L327" s="194" t="s">
        <v>284</v>
      </c>
      <c r="M327" s="194" t="s">
        <v>185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211"/>
      <c r="AB327" s="211"/>
      <c r="AC327" s="211"/>
      <c r="AD327" s="211"/>
    </row>
    <row r="328" spans="1:30" s="849" customFormat="1" ht="15.75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91">
        <f t="shared" si="28"/>
        <v>40977</v>
      </c>
      <c r="D328" s="191" t="s">
        <v>1612</v>
      </c>
      <c r="E328" s="191">
        <v>40977</v>
      </c>
      <c r="F328" s="192" t="s">
        <v>555</v>
      </c>
      <c r="G328" s="490" t="s">
        <v>944</v>
      </c>
      <c r="H328" s="193" t="s">
        <v>945</v>
      </c>
      <c r="I328" s="252"/>
      <c r="J328" s="252"/>
      <c r="K328" s="615">
        <v>680890</v>
      </c>
      <c r="L328" s="194" t="s">
        <v>284</v>
      </c>
      <c r="M328" s="194" t="s">
        <v>495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198"/>
      <c r="AB328" s="198"/>
      <c r="AC328" s="198"/>
      <c r="AD328" s="198"/>
    </row>
    <row r="329" spans="1:30" s="849" customFormat="1" ht="15.75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91">
        <f t="shared" si="28"/>
        <v>40977</v>
      </c>
      <c r="D329" s="191" t="s">
        <v>1647</v>
      </c>
      <c r="E329" s="191">
        <v>40977</v>
      </c>
      <c r="F329" s="192" t="s">
        <v>365</v>
      </c>
      <c r="G329" s="490" t="s">
        <v>944</v>
      </c>
      <c r="H329" s="193" t="s">
        <v>945</v>
      </c>
      <c r="I329" s="252"/>
      <c r="J329" s="252"/>
      <c r="K329" s="615">
        <v>7489790</v>
      </c>
      <c r="L329" s="194" t="s">
        <v>48</v>
      </c>
      <c r="M329" s="194" t="s">
        <v>284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>x</v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198"/>
      <c r="AB329" s="198"/>
      <c r="AC329" s="198"/>
      <c r="AD329" s="198"/>
    </row>
    <row r="330" spans="1:30" s="849" customFormat="1" ht="15.75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91">
        <f t="shared" si="28"/>
        <v>40978</v>
      </c>
      <c r="D330" s="191" t="s">
        <v>1613</v>
      </c>
      <c r="E330" s="191">
        <v>40978</v>
      </c>
      <c r="F330" s="192" t="s">
        <v>1492</v>
      </c>
      <c r="G330" s="490" t="s">
        <v>912</v>
      </c>
      <c r="H330" s="7" t="s">
        <v>632</v>
      </c>
      <c r="I330" s="252">
        <v>1277</v>
      </c>
      <c r="J330" s="252">
        <v>6210</v>
      </c>
      <c r="K330" s="615">
        <f>ROUND(I330*J330,0)</f>
        <v>7930170</v>
      </c>
      <c r="L330" s="194" t="s">
        <v>284</v>
      </c>
      <c r="M330" s="194" t="s">
        <v>185</v>
      </c>
      <c r="N330" s="52" t="str">
        <f>IF(AND('331-CT'!$E$7=TH!H330,OR(L330="331",M330="331")),"331",IF(AND(OR(L330="131",M330="131"),H330='131-CT'!$E$7),"131",""))</f>
        <v>131</v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>x</v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211"/>
      <c r="AB330" s="211"/>
      <c r="AC330" s="211"/>
      <c r="AD330" s="211"/>
    </row>
    <row r="331" spans="1:30" s="849" customFormat="1" ht="15.75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f t="shared" si="28"/>
        <v>40978</v>
      </c>
      <c r="D331" s="191" t="s">
        <v>1613</v>
      </c>
      <c r="E331" s="191">
        <v>40978</v>
      </c>
      <c r="F331" s="192" t="s">
        <v>1493</v>
      </c>
      <c r="G331" s="490" t="s">
        <v>912</v>
      </c>
      <c r="H331" s="7" t="s">
        <v>632</v>
      </c>
      <c r="I331" s="252">
        <v>1305</v>
      </c>
      <c r="J331" s="252">
        <v>6630</v>
      </c>
      <c r="K331" s="615">
        <f>ROUND(I331*J331,0)</f>
        <v>8652150</v>
      </c>
      <c r="L331" s="194" t="s">
        <v>284</v>
      </c>
      <c r="M331" s="194" t="s">
        <v>185</v>
      </c>
      <c r="N331" s="52" t="str">
        <f>IF(AND('331-CT'!$E$7=TH!H331,OR(L331="331",M331="331")),"331",IF(AND(OR(L331="131",M331="131"),H331='131-CT'!$E$7),"131",""))</f>
        <v>131</v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>x</v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211"/>
      <c r="AC331" s="211"/>
      <c r="AD331" s="211"/>
    </row>
    <row r="332" spans="1:30" s="849" customFormat="1" ht="15.75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f t="shared" si="28"/>
        <v>40978</v>
      </c>
      <c r="D332" s="191" t="s">
        <v>1613</v>
      </c>
      <c r="E332" s="191">
        <v>40978</v>
      </c>
      <c r="F332" s="192" t="s">
        <v>1494</v>
      </c>
      <c r="G332" s="490" t="s">
        <v>912</v>
      </c>
      <c r="H332" s="7" t="s">
        <v>632</v>
      </c>
      <c r="I332" s="252">
        <v>301</v>
      </c>
      <c r="J332" s="252">
        <v>6830</v>
      </c>
      <c r="K332" s="615">
        <f>ROUND(I332*J332,0)</f>
        <v>2055830</v>
      </c>
      <c r="L332" s="194" t="s">
        <v>284</v>
      </c>
      <c r="M332" s="194" t="s">
        <v>185</v>
      </c>
      <c r="N332" s="52" t="str">
        <f>IF(AND('331-CT'!$E$7=TH!H332,OR(L332="331",M332="331")),"331",IF(AND(OR(L332="131",M332="131"),H332='131-CT'!$E$7),"131",""))</f>
        <v>131</v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211"/>
      <c r="AC332" s="211"/>
      <c r="AD332" s="211"/>
    </row>
    <row r="333" spans="1:30" s="849" customFormat="1" ht="15.75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si="28"/>
        <v>40978</v>
      </c>
      <c r="D333" s="191" t="s">
        <v>1613</v>
      </c>
      <c r="E333" s="191">
        <v>40978</v>
      </c>
      <c r="F333" s="192" t="s">
        <v>1131</v>
      </c>
      <c r="G333" s="490" t="s">
        <v>912</v>
      </c>
      <c r="H333" s="7" t="s">
        <v>632</v>
      </c>
      <c r="I333" s="252">
        <v>220</v>
      </c>
      <c r="J333" s="252">
        <v>13320</v>
      </c>
      <c r="K333" s="615">
        <f>ROUND(I333*J333,0)</f>
        <v>2930400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>131</v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>x</v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849" customFormat="1" ht="15.75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8"/>
        <v>40978</v>
      </c>
      <c r="D334" s="191" t="s">
        <v>1613</v>
      </c>
      <c r="E334" s="191">
        <v>40978</v>
      </c>
      <c r="F334" s="192" t="s">
        <v>555</v>
      </c>
      <c r="G334" s="490" t="s">
        <v>912</v>
      </c>
      <c r="H334" s="7" t="s">
        <v>632</v>
      </c>
      <c r="I334" s="252"/>
      <c r="J334" s="252"/>
      <c r="K334" s="615">
        <v>2156855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>131</v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849" customFormat="1" ht="15.75" customHeight="1">
      <c r="A335" s="204" t="str">
        <f>IF(B335&lt;&gt;"",IF(AND(B335&gt;=_TM1,B335&lt;=_TM2,OR(TH!L335="1111",TH!M335="1111")),TH!D335,""),"")</f>
        <v/>
      </c>
      <c r="B335" s="36">
        <f t="shared" si="22"/>
        <v>3</v>
      </c>
      <c r="C335" s="184">
        <v>40980</v>
      </c>
      <c r="D335" s="184" t="s">
        <v>1648</v>
      </c>
      <c r="E335" s="184">
        <v>40980</v>
      </c>
      <c r="F335" s="189" t="s">
        <v>559</v>
      </c>
      <c r="G335" s="617" t="s">
        <v>361</v>
      </c>
      <c r="H335" s="7" t="s">
        <v>397</v>
      </c>
      <c r="I335" s="252"/>
      <c r="J335" s="252"/>
      <c r="K335" s="615">
        <v>23390000</v>
      </c>
      <c r="L335" s="616" t="s">
        <v>48</v>
      </c>
      <c r="M335" s="616" t="s">
        <v>24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>x</v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>x</v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606"/>
      <c r="AB335" s="606"/>
      <c r="AC335" s="198"/>
      <c r="AD335" s="198"/>
    </row>
    <row r="336" spans="1:30" s="849" customFormat="1" ht="15.75" customHeight="1">
      <c r="A336" s="204" t="str">
        <f>IF(B336&lt;&gt;"",IF(AND(B336&gt;=_TM1,B336&lt;=_TM2,OR(TH!L336="1111",TH!M336="1111")),TH!D336,""),"")</f>
        <v/>
      </c>
      <c r="B336" s="36">
        <f t="shared" si="22"/>
        <v>3</v>
      </c>
      <c r="C336" s="184">
        <v>40980</v>
      </c>
      <c r="D336" s="184" t="s">
        <v>364</v>
      </c>
      <c r="E336" s="184">
        <v>40980</v>
      </c>
      <c r="F336" s="189" t="s">
        <v>400</v>
      </c>
      <c r="G336" s="617" t="s">
        <v>361</v>
      </c>
      <c r="H336" s="7" t="s">
        <v>436</v>
      </c>
      <c r="I336" s="252"/>
      <c r="J336" s="252"/>
      <c r="K336" s="615">
        <v>50000000</v>
      </c>
      <c r="L336" s="616" t="s">
        <v>8</v>
      </c>
      <c r="M336" s="616" t="s">
        <v>24</v>
      </c>
      <c r="N336" s="52" t="str">
        <f>IF(AND('331-CT'!$E$7=TH!H336,OR(L336="331",M336="331")),"331",IF(AND(OR(L336="131",M336="131"),H336='131-CT'!$E$7),"131",""))</f>
        <v>331</v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>x</v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606"/>
      <c r="AB336" s="606"/>
      <c r="AC336" s="198"/>
      <c r="AD336" s="198"/>
    </row>
    <row r="337" spans="1:30" s="849" customFormat="1" ht="15.75" customHeight="1">
      <c r="A337" s="204" t="str">
        <f>IF(B337&lt;&gt;"",IF(AND(B337&gt;=_TM1,B337&lt;=_TM2,OR(TH!L337="1111",TH!M337="1111")),TH!D337,""),"")</f>
        <v/>
      </c>
      <c r="B337" s="36">
        <f t="shared" si="22"/>
        <v>3</v>
      </c>
      <c r="C337" s="184">
        <v>40980</v>
      </c>
      <c r="D337" s="184" t="s">
        <v>364</v>
      </c>
      <c r="E337" s="184">
        <v>40980</v>
      </c>
      <c r="F337" s="189" t="s">
        <v>400</v>
      </c>
      <c r="G337" s="617" t="s">
        <v>361</v>
      </c>
      <c r="H337" s="193" t="s">
        <v>606</v>
      </c>
      <c r="I337" s="252"/>
      <c r="J337" s="252"/>
      <c r="K337" s="615">
        <v>26616000</v>
      </c>
      <c r="L337" s="616" t="s">
        <v>8</v>
      </c>
      <c r="M337" s="616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>x</v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606"/>
      <c r="AB337" s="606"/>
      <c r="AC337" s="198"/>
      <c r="AD337" s="198"/>
    </row>
    <row r="338" spans="1:30" s="849" customFormat="1" ht="15.75" customHeight="1">
      <c r="A338" s="204" t="str">
        <f>IF(B338&lt;&gt;"",IF(AND(B338&gt;=_TM1,B338&lt;=_TM2,OR(TH!L338="1111",TH!M338="1111")),TH!D338,""),"")</f>
        <v/>
      </c>
      <c r="B338" s="36">
        <f t="shared" si="22"/>
        <v>3</v>
      </c>
      <c r="C338" s="184">
        <v>40980</v>
      </c>
      <c r="D338" s="184" t="s">
        <v>367</v>
      </c>
      <c r="E338" s="184">
        <v>40980</v>
      </c>
      <c r="F338" s="189" t="s">
        <v>1582</v>
      </c>
      <c r="G338" s="617"/>
      <c r="H338" s="193" t="s">
        <v>606</v>
      </c>
      <c r="I338" s="252"/>
      <c r="J338" s="252"/>
      <c r="K338" s="615">
        <v>167</v>
      </c>
      <c r="L338" s="616" t="s">
        <v>8</v>
      </c>
      <c r="M338" s="616" t="s">
        <v>86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606"/>
      <c r="AB338" s="606"/>
      <c r="AC338" s="198"/>
      <c r="AD338" s="198"/>
    </row>
    <row r="339" spans="1:30" s="849" customFormat="1" ht="15.75" customHeight="1">
      <c r="A339" s="204" t="str">
        <f>IF(B339&lt;&gt;"",IF(AND(B339&gt;=_TM1,B339&lt;=_TM2,OR(TH!L339="1111",TH!M339="1111")),TH!D339,""),"")</f>
        <v/>
      </c>
      <c r="B339" s="36">
        <f t="shared" si="22"/>
        <v>3</v>
      </c>
      <c r="C339" s="191">
        <v>40980</v>
      </c>
      <c r="D339" s="184" t="s">
        <v>364</v>
      </c>
      <c r="E339" s="191">
        <v>40980</v>
      </c>
      <c r="F339" s="192" t="s">
        <v>366</v>
      </c>
      <c r="G339" s="490" t="s">
        <v>361</v>
      </c>
      <c r="H339" s="7"/>
      <c r="I339" s="252"/>
      <c r="J339" s="252"/>
      <c r="K339" s="615">
        <v>10000</v>
      </c>
      <c r="L339" s="194" t="s">
        <v>84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>x</v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8"/>
      <c r="AB339" s="198"/>
      <c r="AC339" s="198"/>
      <c r="AD339" s="198"/>
    </row>
    <row r="340" spans="1:30" s="849" customFormat="1" ht="15.75" customHeight="1">
      <c r="A340" s="204" t="str">
        <f>IF(B340&lt;&gt;"",IF(AND(B340&gt;=_TM1,B340&lt;=_TM2,OR(TH!L340="1111",TH!M340="1111")),TH!D340,""),"")</f>
        <v/>
      </c>
      <c r="B340" s="36">
        <f t="shared" si="22"/>
        <v>3</v>
      </c>
      <c r="C340" s="191">
        <v>40980</v>
      </c>
      <c r="D340" s="184" t="s">
        <v>364</v>
      </c>
      <c r="E340" s="191">
        <v>40980</v>
      </c>
      <c r="F340" s="192" t="s">
        <v>366</v>
      </c>
      <c r="G340" s="490" t="s">
        <v>361</v>
      </c>
      <c r="H340" s="7"/>
      <c r="I340" s="252"/>
      <c r="J340" s="252"/>
      <c r="K340" s="38">
        <v>10000</v>
      </c>
      <c r="L340" s="194" t="s">
        <v>84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>x</v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8"/>
      <c r="AB340" s="198"/>
      <c r="AC340" s="198"/>
      <c r="AD340" s="198"/>
    </row>
    <row r="341" spans="1:30" s="849" customFormat="1" ht="15.75" customHeight="1">
      <c r="A341" s="204" t="str">
        <f>IF(B341&lt;&gt;"",IF(AND(B341&gt;=_TM1,B341&lt;=_TM2,OR(TH!L341="1111",TH!M341="1111")),TH!D341,""),"")</f>
        <v/>
      </c>
      <c r="B341" s="36">
        <f t="shared" si="22"/>
        <v>3</v>
      </c>
      <c r="C341" s="191">
        <f t="shared" ref="C341:C349" si="29">E341</f>
        <v>40980</v>
      </c>
      <c r="D341" s="191" t="s">
        <v>1614</v>
      </c>
      <c r="E341" s="191">
        <v>40980</v>
      </c>
      <c r="F341" s="192" t="s">
        <v>1143</v>
      </c>
      <c r="G341" s="490" t="s">
        <v>946</v>
      </c>
      <c r="H341" s="45" t="s">
        <v>891</v>
      </c>
      <c r="I341" s="252">
        <v>991</v>
      </c>
      <c r="J341" s="252">
        <v>11500</v>
      </c>
      <c r="K341" s="615">
        <f>ROUND(I341*J341,0)</f>
        <v>11396500</v>
      </c>
      <c r="L341" s="194" t="s">
        <v>284</v>
      </c>
      <c r="M341" s="194" t="s">
        <v>185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/>
      <c r="AB341" s="211"/>
      <c r="AC341" s="211"/>
      <c r="AD341" s="211"/>
    </row>
    <row r="342" spans="1:30" s="849" customFormat="1" ht="15.75" customHeight="1">
      <c r="A342" s="204" t="str">
        <f>IF(B342&lt;&gt;"",IF(AND(B342&gt;=_TM1,B342&lt;=_TM2,OR(TH!L342="1111",TH!M342="1111")),TH!D342,""),"")</f>
        <v/>
      </c>
      <c r="B342" s="36">
        <f t="shared" si="22"/>
        <v>3</v>
      </c>
      <c r="C342" s="191">
        <f t="shared" si="29"/>
        <v>40980</v>
      </c>
      <c r="D342" s="191" t="s">
        <v>1614</v>
      </c>
      <c r="E342" s="191">
        <v>40980</v>
      </c>
      <c r="F342" s="192" t="s">
        <v>555</v>
      </c>
      <c r="G342" s="490" t="s">
        <v>946</v>
      </c>
      <c r="H342" s="45" t="s">
        <v>891</v>
      </c>
      <c r="I342" s="252"/>
      <c r="J342" s="252"/>
      <c r="K342" s="615">
        <v>1139650</v>
      </c>
      <c r="L342" s="194" t="s">
        <v>284</v>
      </c>
      <c r="M342" s="194" t="s">
        <v>495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/>
      <c r="AB342" s="198"/>
      <c r="AC342" s="198"/>
      <c r="AD342" s="198"/>
    </row>
    <row r="343" spans="1:30" s="849" customFormat="1" ht="15.75" customHeight="1">
      <c r="A343" s="204" t="str">
        <f>IF(B343&lt;&gt;"",IF(AND(B343&gt;=_TM1,B343&lt;=_TM2,OR(TH!L343="1111",TH!M343="1111")),TH!D343,""),"")</f>
        <v/>
      </c>
      <c r="B343" s="36">
        <f t="shared" ref="B343:B406" si="30">IF(C343&lt;&gt;"",MONTH(C343),"")</f>
        <v>3</v>
      </c>
      <c r="C343" s="191">
        <f t="shared" si="29"/>
        <v>40980</v>
      </c>
      <c r="D343" s="191" t="s">
        <v>1615</v>
      </c>
      <c r="E343" s="191">
        <v>40980</v>
      </c>
      <c r="F343" s="192" t="s">
        <v>1033</v>
      </c>
      <c r="G343" s="490" t="s">
        <v>947</v>
      </c>
      <c r="H343" s="193" t="s">
        <v>948</v>
      </c>
      <c r="I343" s="252">
        <v>701</v>
      </c>
      <c r="J343" s="252">
        <v>6990</v>
      </c>
      <c r="K343" s="615">
        <f>ROUND(I343*J343,0)</f>
        <v>4899990</v>
      </c>
      <c r="L343" s="194" t="s">
        <v>284</v>
      </c>
      <c r="M343" s="194" t="s">
        <v>185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211"/>
      <c r="AB343" s="211"/>
      <c r="AC343" s="211"/>
      <c r="AD343" s="211"/>
    </row>
    <row r="344" spans="1:30" s="849" customFormat="1" ht="15.75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91">
        <f t="shared" si="29"/>
        <v>40980</v>
      </c>
      <c r="D344" s="191" t="s">
        <v>1615</v>
      </c>
      <c r="E344" s="191">
        <v>40980</v>
      </c>
      <c r="F344" s="192" t="s">
        <v>1169</v>
      </c>
      <c r="G344" s="490" t="s">
        <v>947</v>
      </c>
      <c r="H344" s="193" t="s">
        <v>948</v>
      </c>
      <c r="I344" s="252">
        <v>299</v>
      </c>
      <c r="J344" s="252">
        <v>8050</v>
      </c>
      <c r="K344" s="615">
        <f>ROUND(I344*J344,0)</f>
        <v>2406950</v>
      </c>
      <c r="L344" s="194" t="s">
        <v>284</v>
      </c>
      <c r="M344" s="194" t="s">
        <v>185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211"/>
      <c r="AB344" s="211"/>
      <c r="AC344" s="211"/>
      <c r="AD344" s="211"/>
    </row>
    <row r="345" spans="1:30" s="85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91">
        <f t="shared" si="29"/>
        <v>40980</v>
      </c>
      <c r="D345" s="191" t="s">
        <v>1615</v>
      </c>
      <c r="E345" s="191">
        <v>40980</v>
      </c>
      <c r="F345" s="192" t="s">
        <v>1095</v>
      </c>
      <c r="G345" s="490" t="s">
        <v>947</v>
      </c>
      <c r="H345" s="193" t="s">
        <v>948</v>
      </c>
      <c r="I345" s="252">
        <v>56</v>
      </c>
      <c r="J345" s="252">
        <v>7380</v>
      </c>
      <c r="K345" s="615">
        <f>ROUND(I345*J345,0)</f>
        <v>413280</v>
      </c>
      <c r="L345" s="194" t="s">
        <v>284</v>
      </c>
      <c r="M345" s="194" t="s">
        <v>185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211"/>
      <c r="AB345" s="211"/>
      <c r="AC345" s="211"/>
      <c r="AD345" s="211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f t="shared" si="29"/>
        <v>40980</v>
      </c>
      <c r="D346" s="191" t="s">
        <v>1615</v>
      </c>
      <c r="E346" s="191">
        <v>40980</v>
      </c>
      <c r="F346" s="192" t="s">
        <v>1168</v>
      </c>
      <c r="G346" s="490" t="s">
        <v>947</v>
      </c>
      <c r="H346" s="193" t="s">
        <v>948</v>
      </c>
      <c r="I346" s="252">
        <v>68</v>
      </c>
      <c r="J346" s="252">
        <v>9512</v>
      </c>
      <c r="K346" s="615">
        <f>ROUND(I346*J346,0)</f>
        <v>646816</v>
      </c>
      <c r="L346" s="194" t="s">
        <v>284</v>
      </c>
      <c r="M346" s="194" t="s">
        <v>185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211"/>
      <c r="AB346" s="211"/>
      <c r="AC346" s="211"/>
      <c r="AD346" s="211"/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f t="shared" si="29"/>
        <v>40980</v>
      </c>
      <c r="D347" s="191" t="s">
        <v>1615</v>
      </c>
      <c r="E347" s="191">
        <v>40980</v>
      </c>
      <c r="F347" s="189" t="s">
        <v>1069</v>
      </c>
      <c r="G347" s="490" t="s">
        <v>947</v>
      </c>
      <c r="H347" s="193" t="s">
        <v>948</v>
      </c>
      <c r="I347" s="252">
        <v>108</v>
      </c>
      <c r="J347" s="252">
        <v>6585</v>
      </c>
      <c r="K347" s="615">
        <f>ROUND(I347*J347,0)</f>
        <v>711180</v>
      </c>
      <c r="L347" s="194" t="s">
        <v>284</v>
      </c>
      <c r="M347" s="194" t="s">
        <v>185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  <c r="AD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f t="shared" si="29"/>
        <v>40980</v>
      </c>
      <c r="D348" s="191" t="s">
        <v>1615</v>
      </c>
      <c r="E348" s="191">
        <v>40980</v>
      </c>
      <c r="F348" s="192" t="s">
        <v>555</v>
      </c>
      <c r="G348" s="490" t="s">
        <v>947</v>
      </c>
      <c r="H348" s="193" t="s">
        <v>948</v>
      </c>
      <c r="I348" s="252"/>
      <c r="J348" s="252"/>
      <c r="K348" s="615">
        <v>907822</v>
      </c>
      <c r="L348" s="194" t="s">
        <v>284</v>
      </c>
      <c r="M348" s="194" t="s">
        <v>495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f t="shared" si="29"/>
        <v>40980</v>
      </c>
      <c r="D349" s="191" t="s">
        <v>1649</v>
      </c>
      <c r="E349" s="191">
        <v>40980</v>
      </c>
      <c r="F349" s="192" t="s">
        <v>365</v>
      </c>
      <c r="G349" s="490" t="s">
        <v>947</v>
      </c>
      <c r="H349" s="193" t="s">
        <v>948</v>
      </c>
      <c r="I349" s="252"/>
      <c r="J349" s="252"/>
      <c r="K349" s="615">
        <v>9986038</v>
      </c>
      <c r="L349" s="194" t="s">
        <v>48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>x</v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40981</v>
      </c>
      <c r="D350" s="184" t="s">
        <v>450</v>
      </c>
      <c r="E350" s="191">
        <v>40981</v>
      </c>
      <c r="F350" s="192" t="s">
        <v>625</v>
      </c>
      <c r="G350" s="490" t="s">
        <v>626</v>
      </c>
      <c r="H350" s="193" t="s">
        <v>627</v>
      </c>
      <c r="I350" s="252"/>
      <c r="J350" s="252"/>
      <c r="K350" s="38">
        <v>3600000</v>
      </c>
      <c r="L350" s="194" t="s">
        <v>175</v>
      </c>
      <c r="M350" s="194" t="s">
        <v>48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84">
        <v>40981</v>
      </c>
      <c r="D351" s="184" t="s">
        <v>450</v>
      </c>
      <c r="E351" s="184">
        <v>40981</v>
      </c>
      <c r="F351" s="189" t="s">
        <v>372</v>
      </c>
      <c r="G351" s="617" t="s">
        <v>626</v>
      </c>
      <c r="H351" s="193" t="s">
        <v>627</v>
      </c>
      <c r="I351" s="252"/>
      <c r="J351" s="252"/>
      <c r="K351" s="615">
        <v>360000</v>
      </c>
      <c r="L351" s="616" t="s">
        <v>9</v>
      </c>
      <c r="M351" s="616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198">
        <v>3</v>
      </c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84">
        <v>40981</v>
      </c>
      <c r="D352" s="184" t="s">
        <v>469</v>
      </c>
      <c r="E352" s="184">
        <v>40981</v>
      </c>
      <c r="F352" s="189" t="s">
        <v>628</v>
      </c>
      <c r="G352" s="617" t="s">
        <v>629</v>
      </c>
      <c r="H352" s="193" t="s">
        <v>606</v>
      </c>
      <c r="I352" s="252">
        <v>140</v>
      </c>
      <c r="J352" s="252">
        <v>16128</v>
      </c>
      <c r="K352" s="615">
        <v>2257920</v>
      </c>
      <c r="L352" s="616" t="s">
        <v>169</v>
      </c>
      <c r="M352" s="61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B352" s="606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84">
        <v>40981</v>
      </c>
      <c r="D353" s="184" t="s">
        <v>469</v>
      </c>
      <c r="E353" s="184">
        <v>40981</v>
      </c>
      <c r="F353" s="189" t="s">
        <v>630</v>
      </c>
      <c r="G353" s="617" t="s">
        <v>629</v>
      </c>
      <c r="H353" s="7" t="s">
        <v>606</v>
      </c>
      <c r="I353" s="252">
        <v>244</v>
      </c>
      <c r="J353" s="252">
        <v>30836</v>
      </c>
      <c r="K353" s="615">
        <v>7523984</v>
      </c>
      <c r="L353" s="616" t="s">
        <v>169</v>
      </c>
      <c r="M353" s="61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B353" s="606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84">
        <v>40981</v>
      </c>
      <c r="D354" s="184" t="s">
        <v>469</v>
      </c>
      <c r="E354" s="184">
        <v>40981</v>
      </c>
      <c r="F354" s="189" t="s">
        <v>631</v>
      </c>
      <c r="G354" s="617" t="s">
        <v>629</v>
      </c>
      <c r="H354" s="7" t="s">
        <v>606</v>
      </c>
      <c r="I354" s="252">
        <v>274</v>
      </c>
      <c r="J354" s="252">
        <v>26146</v>
      </c>
      <c r="K354" s="615">
        <v>7164004</v>
      </c>
      <c r="L354" s="616" t="s">
        <v>169</v>
      </c>
      <c r="M354" s="616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6"/>
      <c r="AB354" s="606"/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40981</v>
      </c>
      <c r="D355" s="184" t="s">
        <v>469</v>
      </c>
      <c r="E355" s="191">
        <v>40981</v>
      </c>
      <c r="F355" s="189" t="s">
        <v>620</v>
      </c>
      <c r="G355" s="490" t="s">
        <v>629</v>
      </c>
      <c r="H355" s="7" t="s">
        <v>606</v>
      </c>
      <c r="I355" s="254"/>
      <c r="J355" s="254"/>
      <c r="K355" s="615">
        <v>1694590</v>
      </c>
      <c r="L355" s="194" t="s">
        <v>9</v>
      </c>
      <c r="M355" s="616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198">
        <v>3</v>
      </c>
      <c r="AB355" s="606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40981</v>
      </c>
      <c r="D356" s="184" t="s">
        <v>451</v>
      </c>
      <c r="E356" s="191">
        <v>40981</v>
      </c>
      <c r="F356" s="189" t="s">
        <v>400</v>
      </c>
      <c r="G356" s="490" t="s">
        <v>629</v>
      </c>
      <c r="H356" s="7" t="s">
        <v>606</v>
      </c>
      <c r="I356" s="254"/>
      <c r="J356" s="254"/>
      <c r="K356" s="615">
        <v>18640498</v>
      </c>
      <c r="L356" s="194" t="s">
        <v>8</v>
      </c>
      <c r="M356" s="616" t="s">
        <v>48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B356" s="606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40984</v>
      </c>
      <c r="D357" s="184" t="s">
        <v>363</v>
      </c>
      <c r="E357" s="191">
        <v>40984</v>
      </c>
      <c r="F357" s="189" t="s">
        <v>365</v>
      </c>
      <c r="G357" s="490" t="s">
        <v>361</v>
      </c>
      <c r="H357" s="7" t="s">
        <v>632</v>
      </c>
      <c r="I357" s="254"/>
      <c r="J357" s="254"/>
      <c r="K357" s="615">
        <v>23725405</v>
      </c>
      <c r="L357" s="194" t="s">
        <v>24</v>
      </c>
      <c r="M357" s="194" t="s">
        <v>284</v>
      </c>
      <c r="N357" s="52" t="str">
        <f>IF(AND('331-CT'!$E$7=TH!H357,OR(L357="331",M357="331")),"331",IF(AND(OR(L357="131",M357="131"),H357='131-CT'!$E$7),"131",""))</f>
        <v>131</v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>x</v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6"/>
      <c r="AB357" s="606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40987</v>
      </c>
      <c r="D358" s="184" t="s">
        <v>363</v>
      </c>
      <c r="E358" s="191">
        <v>40987</v>
      </c>
      <c r="F358" s="189" t="s">
        <v>365</v>
      </c>
      <c r="G358" s="490" t="s">
        <v>361</v>
      </c>
      <c r="H358" s="7" t="s">
        <v>633</v>
      </c>
      <c r="I358" s="254"/>
      <c r="J358" s="254"/>
      <c r="K358" s="615">
        <v>6325000</v>
      </c>
      <c r="L358" s="194" t="s">
        <v>24</v>
      </c>
      <c r="M358" s="194" t="s">
        <v>284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>x</v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6"/>
      <c r="AB358" s="606"/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470</v>
      </c>
      <c r="E359" s="191">
        <v>40988</v>
      </c>
      <c r="F359" s="189" t="s">
        <v>634</v>
      </c>
      <c r="G359" s="490" t="s">
        <v>635</v>
      </c>
      <c r="H359" s="7" t="s">
        <v>606</v>
      </c>
      <c r="I359" s="254">
        <v>33</v>
      </c>
      <c r="J359" s="254">
        <v>19316</v>
      </c>
      <c r="K359" s="615">
        <v>637428</v>
      </c>
      <c r="L359" s="194" t="s">
        <v>169</v>
      </c>
      <c r="M359" s="61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606"/>
    </row>
    <row r="360" spans="1:30" ht="15.75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470</v>
      </c>
      <c r="E360" s="191">
        <v>40988</v>
      </c>
      <c r="F360" s="189" t="s">
        <v>636</v>
      </c>
      <c r="G360" s="490" t="s">
        <v>635</v>
      </c>
      <c r="H360" s="7" t="s">
        <v>606</v>
      </c>
      <c r="I360" s="254">
        <v>503</v>
      </c>
      <c r="J360" s="254">
        <v>20511</v>
      </c>
      <c r="K360" s="615">
        <v>10317033</v>
      </c>
      <c r="L360" s="194" t="s">
        <v>169</v>
      </c>
      <c r="M360" s="61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606"/>
      <c r="AB360" s="606"/>
    </row>
    <row r="361" spans="1:30" ht="15.75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470</v>
      </c>
      <c r="E361" s="191">
        <v>40988</v>
      </c>
      <c r="F361" s="189" t="s">
        <v>637</v>
      </c>
      <c r="G361" s="490" t="s">
        <v>635</v>
      </c>
      <c r="H361" s="7" t="s">
        <v>606</v>
      </c>
      <c r="I361" s="254">
        <v>240</v>
      </c>
      <c r="J361" s="254">
        <v>15665</v>
      </c>
      <c r="K361" s="38">
        <v>3759600</v>
      </c>
      <c r="L361" s="194" t="s">
        <v>169</v>
      </c>
      <c r="M361" s="61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6"/>
      <c r="AB361" s="606"/>
    </row>
    <row r="362" spans="1:30" ht="15.75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470</v>
      </c>
      <c r="E362" s="191">
        <v>40988</v>
      </c>
      <c r="F362" s="192" t="s">
        <v>638</v>
      </c>
      <c r="G362" s="490" t="s">
        <v>635</v>
      </c>
      <c r="H362" s="7" t="s">
        <v>606</v>
      </c>
      <c r="I362" s="254">
        <v>20</v>
      </c>
      <c r="J362" s="254">
        <v>16346</v>
      </c>
      <c r="K362" s="615">
        <v>326920</v>
      </c>
      <c r="L362" s="194" t="s">
        <v>169</v>
      </c>
      <c r="M362" s="61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6"/>
      <c r="AB362" s="606"/>
    </row>
    <row r="363" spans="1:30" ht="15.75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91">
        <v>40988</v>
      </c>
      <c r="D363" s="184" t="s">
        <v>470</v>
      </c>
      <c r="E363" s="191">
        <v>40988</v>
      </c>
      <c r="F363" s="192" t="s">
        <v>639</v>
      </c>
      <c r="G363" s="490" t="s">
        <v>635</v>
      </c>
      <c r="H363" s="7" t="s">
        <v>606</v>
      </c>
      <c r="I363" s="252">
        <v>150</v>
      </c>
      <c r="J363" s="252">
        <v>11554</v>
      </c>
      <c r="K363" s="38">
        <v>1733100</v>
      </c>
      <c r="L363" s="194" t="s">
        <v>169</v>
      </c>
      <c r="M363" s="61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606"/>
      <c r="AB363" s="606"/>
    </row>
    <row r="364" spans="1:30" ht="15.75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470</v>
      </c>
      <c r="E364" s="191">
        <v>40988</v>
      </c>
      <c r="F364" s="189" t="s">
        <v>640</v>
      </c>
      <c r="G364" s="490" t="s">
        <v>635</v>
      </c>
      <c r="H364" s="7" t="s">
        <v>606</v>
      </c>
      <c r="I364" s="252">
        <v>30</v>
      </c>
      <c r="J364" s="252">
        <v>14151</v>
      </c>
      <c r="K364" s="615">
        <v>424530</v>
      </c>
      <c r="L364" s="194" t="s">
        <v>169</v>
      </c>
      <c r="M364" s="61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6"/>
      <c r="AB364" s="606"/>
    </row>
    <row r="365" spans="1:30" ht="15.75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470</v>
      </c>
      <c r="E365" s="191">
        <v>40988</v>
      </c>
      <c r="F365" s="189" t="s">
        <v>641</v>
      </c>
      <c r="G365" s="490" t="s">
        <v>635</v>
      </c>
      <c r="H365" s="7" t="s">
        <v>606</v>
      </c>
      <c r="I365" s="252">
        <v>248</v>
      </c>
      <c r="J365" s="252">
        <v>22315</v>
      </c>
      <c r="K365" s="615">
        <v>5534120</v>
      </c>
      <c r="L365" s="194" t="s">
        <v>169</v>
      </c>
      <c r="M365" s="61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606"/>
      <c r="AB365" s="606"/>
    </row>
    <row r="366" spans="1:30" ht="15.75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471</v>
      </c>
      <c r="E366" s="191">
        <v>40988</v>
      </c>
      <c r="F366" s="189" t="s">
        <v>642</v>
      </c>
      <c r="G366" s="490" t="s">
        <v>635</v>
      </c>
      <c r="H366" s="7" t="s">
        <v>606</v>
      </c>
      <c r="I366" s="252">
        <v>350</v>
      </c>
      <c r="J366" s="252">
        <v>16660</v>
      </c>
      <c r="K366" s="615">
        <v>5831000</v>
      </c>
      <c r="L366" s="194" t="s">
        <v>169</v>
      </c>
      <c r="M366" s="616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6"/>
      <c r="AB366" s="606"/>
    </row>
    <row r="367" spans="1:30" ht="15.75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471</v>
      </c>
      <c r="E367" s="191">
        <v>40988</v>
      </c>
      <c r="F367" s="189" t="s">
        <v>643</v>
      </c>
      <c r="G367" s="490" t="s">
        <v>635</v>
      </c>
      <c r="H367" s="7" t="s">
        <v>606</v>
      </c>
      <c r="I367" s="252">
        <v>100</v>
      </c>
      <c r="J367" s="252">
        <v>29155</v>
      </c>
      <c r="K367" s="615">
        <v>2915500</v>
      </c>
      <c r="L367" s="194" t="s">
        <v>169</v>
      </c>
      <c r="M367" s="61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6"/>
      <c r="AB367" s="606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471</v>
      </c>
      <c r="E368" s="191">
        <v>40988</v>
      </c>
      <c r="F368" s="189" t="s">
        <v>644</v>
      </c>
      <c r="G368" s="490" t="s">
        <v>635</v>
      </c>
      <c r="H368" s="7" t="s">
        <v>606</v>
      </c>
      <c r="I368" s="252">
        <v>100</v>
      </c>
      <c r="J368" s="252">
        <v>14166</v>
      </c>
      <c r="K368" s="615">
        <v>1416600</v>
      </c>
      <c r="L368" s="194" t="s">
        <v>169</v>
      </c>
      <c r="M368" s="61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6"/>
      <c r="AB368" s="606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471</v>
      </c>
      <c r="E369" s="191">
        <v>40988</v>
      </c>
      <c r="F369" s="189" t="s">
        <v>645</v>
      </c>
      <c r="G369" s="490" t="s">
        <v>635</v>
      </c>
      <c r="H369" s="7" t="s">
        <v>606</v>
      </c>
      <c r="I369" s="252">
        <v>80</v>
      </c>
      <c r="J369" s="252">
        <v>23748</v>
      </c>
      <c r="K369" s="615">
        <v>1899840</v>
      </c>
      <c r="L369" s="194" t="s">
        <v>169</v>
      </c>
      <c r="M369" s="61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C369" s="198"/>
      <c r="AD369" s="198"/>
    </row>
    <row r="370" spans="1:30" ht="15.75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471</v>
      </c>
      <c r="E370" s="191">
        <v>40988</v>
      </c>
      <c r="F370" s="189" t="s">
        <v>646</v>
      </c>
      <c r="G370" s="490" t="s">
        <v>635</v>
      </c>
      <c r="H370" s="7" t="s">
        <v>606</v>
      </c>
      <c r="I370" s="252">
        <v>300</v>
      </c>
      <c r="J370" s="252">
        <v>17763</v>
      </c>
      <c r="K370" s="615">
        <v>5328900</v>
      </c>
      <c r="L370" s="194" t="s">
        <v>169</v>
      </c>
      <c r="M370" s="616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6"/>
      <c r="AB370" s="606"/>
    </row>
    <row r="371" spans="1:30" ht="15.75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471</v>
      </c>
      <c r="E371" s="191">
        <v>40988</v>
      </c>
      <c r="F371" s="189" t="s">
        <v>647</v>
      </c>
      <c r="G371" s="490" t="s">
        <v>635</v>
      </c>
      <c r="H371" s="7" t="s">
        <v>606</v>
      </c>
      <c r="I371" s="252">
        <v>50</v>
      </c>
      <c r="J371" s="252">
        <v>17443</v>
      </c>
      <c r="K371" s="38">
        <v>872150</v>
      </c>
      <c r="L371" s="194" t="s">
        <v>169</v>
      </c>
      <c r="M371" s="616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6"/>
      <c r="AB371" s="606"/>
    </row>
    <row r="372" spans="1:30" ht="15.75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84">
        <v>40988</v>
      </c>
      <c r="D372" s="184" t="s">
        <v>471</v>
      </c>
      <c r="E372" s="184">
        <v>40988</v>
      </c>
      <c r="F372" s="189" t="s">
        <v>648</v>
      </c>
      <c r="G372" s="617" t="s">
        <v>635</v>
      </c>
      <c r="H372" s="193" t="s">
        <v>606</v>
      </c>
      <c r="I372" s="252">
        <v>50</v>
      </c>
      <c r="J372" s="252">
        <v>21130</v>
      </c>
      <c r="K372" s="615">
        <v>1056500</v>
      </c>
      <c r="L372" s="616" t="s">
        <v>169</v>
      </c>
      <c r="M372" s="616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6"/>
    </row>
    <row r="373" spans="1:30" ht="15.75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471</v>
      </c>
      <c r="E373" s="191">
        <v>40988</v>
      </c>
      <c r="F373" s="192" t="s">
        <v>649</v>
      </c>
      <c r="G373" s="490" t="s">
        <v>635</v>
      </c>
      <c r="H373" s="193" t="s">
        <v>606</v>
      </c>
      <c r="I373" s="252">
        <v>169</v>
      </c>
      <c r="J373" s="252">
        <v>19080</v>
      </c>
      <c r="K373" s="615">
        <v>3224520</v>
      </c>
      <c r="L373" s="194" t="s">
        <v>169</v>
      </c>
      <c r="M373" s="616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6"/>
      <c r="AB373" s="606"/>
    </row>
    <row r="374" spans="1:30" ht="15.75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472</v>
      </c>
      <c r="E374" s="191">
        <v>40988</v>
      </c>
      <c r="F374" s="192" t="s">
        <v>650</v>
      </c>
      <c r="G374" s="490" t="s">
        <v>635</v>
      </c>
      <c r="H374" s="193" t="s">
        <v>606</v>
      </c>
      <c r="I374" s="252">
        <v>195</v>
      </c>
      <c r="J374" s="252">
        <v>20842</v>
      </c>
      <c r="K374" s="615">
        <v>4064190</v>
      </c>
      <c r="L374" s="194" t="s">
        <v>169</v>
      </c>
      <c r="M374" s="61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211"/>
      <c r="AB374" s="606"/>
    </row>
    <row r="375" spans="1:30" ht="15.75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472</v>
      </c>
      <c r="E375" s="191">
        <v>40988</v>
      </c>
      <c r="F375" s="192" t="s">
        <v>651</v>
      </c>
      <c r="G375" s="490" t="s">
        <v>635</v>
      </c>
      <c r="H375" s="193" t="s">
        <v>606</v>
      </c>
      <c r="I375" s="252">
        <v>105</v>
      </c>
      <c r="J375" s="252">
        <v>17530</v>
      </c>
      <c r="K375" s="38">
        <v>1840650</v>
      </c>
      <c r="L375" s="194" t="s">
        <v>169</v>
      </c>
      <c r="M375" s="61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6"/>
      <c r="AB375" s="606"/>
    </row>
    <row r="376" spans="1:30" ht="15.75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472</v>
      </c>
      <c r="E376" s="191">
        <v>40988</v>
      </c>
      <c r="F376" s="192" t="s">
        <v>652</v>
      </c>
      <c r="G376" s="490" t="s">
        <v>635</v>
      </c>
      <c r="H376" s="193" t="s">
        <v>606</v>
      </c>
      <c r="I376" s="252">
        <v>98</v>
      </c>
      <c r="J376" s="252">
        <v>19086</v>
      </c>
      <c r="K376" s="615">
        <v>1870428</v>
      </c>
      <c r="L376" s="194" t="s">
        <v>169</v>
      </c>
      <c r="M376" s="616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606"/>
      <c r="AB376" s="606"/>
    </row>
    <row r="377" spans="1:30" ht="15.75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472</v>
      </c>
      <c r="E377" s="191">
        <v>40988</v>
      </c>
      <c r="F377" s="192" t="s">
        <v>653</v>
      </c>
      <c r="G377" s="490" t="s">
        <v>635</v>
      </c>
      <c r="H377" s="193" t="s">
        <v>606</v>
      </c>
      <c r="I377" s="252">
        <v>1500</v>
      </c>
      <c r="J377" s="252">
        <v>571</v>
      </c>
      <c r="K377" s="38">
        <v>856500</v>
      </c>
      <c r="L377" s="194" t="s">
        <v>169</v>
      </c>
      <c r="M377" s="61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6"/>
      <c r="AB377" s="606"/>
    </row>
    <row r="378" spans="1:30" ht="15.75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472</v>
      </c>
      <c r="E378" s="191">
        <v>40988</v>
      </c>
      <c r="F378" s="189" t="s">
        <v>654</v>
      </c>
      <c r="G378" s="490" t="s">
        <v>635</v>
      </c>
      <c r="H378" s="7" t="s">
        <v>606</v>
      </c>
      <c r="I378" s="252">
        <v>55</v>
      </c>
      <c r="J378" s="252">
        <v>10819</v>
      </c>
      <c r="K378" s="615">
        <v>595045</v>
      </c>
      <c r="L378" s="194" t="s">
        <v>169</v>
      </c>
      <c r="M378" s="61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606"/>
      <c r="AB378" s="606"/>
    </row>
    <row r="379" spans="1:30" ht="15.75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472</v>
      </c>
      <c r="E379" s="191">
        <v>40988</v>
      </c>
      <c r="F379" s="189" t="s">
        <v>655</v>
      </c>
      <c r="G379" s="490" t="s">
        <v>635</v>
      </c>
      <c r="H379" s="7" t="s">
        <v>606</v>
      </c>
      <c r="I379" s="252">
        <v>102</v>
      </c>
      <c r="J379" s="252">
        <v>14573</v>
      </c>
      <c r="K379" s="615">
        <v>1486446</v>
      </c>
      <c r="L379" s="194" t="s">
        <v>169</v>
      </c>
      <c r="M379" s="61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6"/>
      <c r="AB379" s="606"/>
    </row>
    <row r="380" spans="1:30" ht="15.75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472</v>
      </c>
      <c r="E380" s="191">
        <v>40988</v>
      </c>
      <c r="F380" s="189" t="s">
        <v>656</v>
      </c>
      <c r="G380" s="490" t="s">
        <v>635</v>
      </c>
      <c r="H380" s="7" t="s">
        <v>606</v>
      </c>
      <c r="I380" s="254">
        <v>195</v>
      </c>
      <c r="J380" s="254">
        <v>18008</v>
      </c>
      <c r="K380" s="615">
        <v>3511560</v>
      </c>
      <c r="L380" s="194" t="s">
        <v>169</v>
      </c>
      <c r="M380" s="61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606"/>
      <c r="AB380" s="606"/>
    </row>
    <row r="381" spans="1:30" ht="15.75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v>40988</v>
      </c>
      <c r="D381" s="184" t="s">
        <v>472</v>
      </c>
      <c r="E381" s="191">
        <v>40988</v>
      </c>
      <c r="F381" s="189" t="s">
        <v>657</v>
      </c>
      <c r="G381" s="490" t="s">
        <v>635</v>
      </c>
      <c r="H381" s="7" t="s">
        <v>606</v>
      </c>
      <c r="I381" s="252">
        <v>105</v>
      </c>
      <c r="J381" s="252">
        <v>23373</v>
      </c>
      <c r="K381" s="615">
        <v>2454165</v>
      </c>
      <c r="L381" s="194" t="s">
        <v>169</v>
      </c>
      <c r="M381" s="61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606"/>
    </row>
    <row r="382" spans="1:30" s="849" customFormat="1" ht="15.75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v>40988</v>
      </c>
      <c r="D382" s="184" t="s">
        <v>473</v>
      </c>
      <c r="E382" s="191">
        <v>40988</v>
      </c>
      <c r="F382" s="189" t="s">
        <v>658</v>
      </c>
      <c r="G382" s="490" t="s">
        <v>635</v>
      </c>
      <c r="H382" s="7" t="s">
        <v>606</v>
      </c>
      <c r="I382" s="254">
        <v>139</v>
      </c>
      <c r="J382" s="254">
        <v>28381</v>
      </c>
      <c r="K382" s="38">
        <v>3944959</v>
      </c>
      <c r="L382" s="194" t="s">
        <v>169</v>
      </c>
      <c r="M382" s="61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606"/>
      <c r="AB382" s="606"/>
      <c r="AC382" s="198"/>
      <c r="AD382" s="198"/>
    </row>
    <row r="383" spans="1:30" s="849" customFormat="1" ht="15.75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v>40988</v>
      </c>
      <c r="D383" s="184" t="s">
        <v>473</v>
      </c>
      <c r="E383" s="191">
        <v>40988</v>
      </c>
      <c r="F383" s="192" t="s">
        <v>659</v>
      </c>
      <c r="G383" s="490" t="s">
        <v>635</v>
      </c>
      <c r="H383" s="45" t="s">
        <v>606</v>
      </c>
      <c r="I383" s="252">
        <v>78</v>
      </c>
      <c r="J383" s="252">
        <v>26573</v>
      </c>
      <c r="K383" s="38">
        <v>2072694</v>
      </c>
      <c r="L383" s="194" t="s">
        <v>169</v>
      </c>
      <c r="M383" s="61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606"/>
      <c r="AB383" s="606"/>
      <c r="AC383" s="198"/>
      <c r="AD383" s="198"/>
    </row>
    <row r="384" spans="1:30" s="849" customFormat="1" ht="15.75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40988</v>
      </c>
      <c r="D384" s="184" t="s">
        <v>473</v>
      </c>
      <c r="E384" s="191">
        <v>40988</v>
      </c>
      <c r="F384" s="192" t="s">
        <v>660</v>
      </c>
      <c r="G384" s="490" t="s">
        <v>635</v>
      </c>
      <c r="H384" s="45" t="s">
        <v>606</v>
      </c>
      <c r="I384" s="252">
        <v>263</v>
      </c>
      <c r="J384" s="252">
        <v>11886</v>
      </c>
      <c r="K384" s="38">
        <v>3126018</v>
      </c>
      <c r="L384" s="194" t="s">
        <v>169</v>
      </c>
      <c r="M384" s="61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6"/>
      <c r="AB384" s="606"/>
      <c r="AC384" s="198"/>
      <c r="AD384" s="198"/>
    </row>
    <row r="385" spans="1:30" s="849" customFormat="1" ht="15.75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v>40988</v>
      </c>
      <c r="D385" s="184" t="s">
        <v>473</v>
      </c>
      <c r="E385" s="191">
        <v>40988</v>
      </c>
      <c r="F385" s="189" t="s">
        <v>661</v>
      </c>
      <c r="G385" s="490" t="s">
        <v>635</v>
      </c>
      <c r="H385" s="7" t="s">
        <v>606</v>
      </c>
      <c r="I385" s="252">
        <v>225</v>
      </c>
      <c r="J385" s="252">
        <v>15974</v>
      </c>
      <c r="K385" s="615">
        <v>3594150</v>
      </c>
      <c r="L385" s="194" t="s">
        <v>169</v>
      </c>
      <c r="M385" s="61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606"/>
      <c r="AC385" s="198"/>
      <c r="AD385" s="198"/>
    </row>
    <row r="386" spans="1:30" s="849" customFormat="1" ht="15.75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v>40988</v>
      </c>
      <c r="D386" s="184" t="s">
        <v>473</v>
      </c>
      <c r="E386" s="191">
        <v>40988</v>
      </c>
      <c r="F386" s="189" t="s">
        <v>604</v>
      </c>
      <c r="G386" s="490" t="s">
        <v>635</v>
      </c>
      <c r="H386" s="7" t="s">
        <v>606</v>
      </c>
      <c r="I386" s="252">
        <v>309</v>
      </c>
      <c r="J386" s="252">
        <v>13372</v>
      </c>
      <c r="K386" s="615">
        <v>4131948</v>
      </c>
      <c r="L386" s="194" t="s">
        <v>169</v>
      </c>
      <c r="M386" s="61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606"/>
      <c r="AB386" s="606"/>
      <c r="AC386" s="198"/>
      <c r="AD386" s="198"/>
    </row>
    <row r="387" spans="1:30" s="849" customFormat="1" ht="15.75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v>40988</v>
      </c>
      <c r="D387" s="184" t="s">
        <v>473</v>
      </c>
      <c r="E387" s="191">
        <v>40988</v>
      </c>
      <c r="F387" s="189" t="s">
        <v>662</v>
      </c>
      <c r="G387" s="490" t="s">
        <v>635</v>
      </c>
      <c r="H387" s="7" t="s">
        <v>606</v>
      </c>
      <c r="I387" s="252">
        <v>520</v>
      </c>
      <c r="J387" s="252">
        <v>21434</v>
      </c>
      <c r="K387" s="615">
        <v>11145680</v>
      </c>
      <c r="L387" s="194" t="s">
        <v>169</v>
      </c>
      <c r="M387" s="61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606"/>
      <c r="AC387" s="198"/>
      <c r="AD387" s="198"/>
    </row>
    <row r="388" spans="1:30" s="849" customFormat="1" ht="15.75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v>40988</v>
      </c>
      <c r="D388" s="184" t="s">
        <v>473</v>
      </c>
      <c r="E388" s="191">
        <v>40988</v>
      </c>
      <c r="F388" s="189" t="s">
        <v>663</v>
      </c>
      <c r="G388" s="490" t="s">
        <v>635</v>
      </c>
      <c r="H388" s="7" t="s">
        <v>606</v>
      </c>
      <c r="I388" s="252">
        <v>336</v>
      </c>
      <c r="J388" s="252">
        <v>28538</v>
      </c>
      <c r="K388" s="615">
        <v>9588768</v>
      </c>
      <c r="L388" s="194" t="s">
        <v>169</v>
      </c>
      <c r="M388" s="61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606"/>
      <c r="AB388" s="606"/>
      <c r="AC388" s="198"/>
      <c r="AD388" s="198"/>
    </row>
    <row r="389" spans="1:30" s="849" customFormat="1" ht="15.75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v>40988</v>
      </c>
      <c r="D389" s="184" t="s">
        <v>473</v>
      </c>
      <c r="E389" s="191">
        <v>40988</v>
      </c>
      <c r="F389" s="189" t="s">
        <v>620</v>
      </c>
      <c r="G389" s="490" t="s">
        <v>635</v>
      </c>
      <c r="H389" s="7" t="s">
        <v>606</v>
      </c>
      <c r="I389" s="252"/>
      <c r="J389" s="252"/>
      <c r="K389" s="615">
        <v>9956094</v>
      </c>
      <c r="L389" s="194" t="s">
        <v>9</v>
      </c>
      <c r="M389" s="616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198">
        <v>3</v>
      </c>
      <c r="AB389" s="606"/>
      <c r="AC389" s="198"/>
      <c r="AD389" s="198"/>
    </row>
    <row r="390" spans="1:30" s="849" customFormat="1" ht="15.75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>E390</f>
        <v>40988</v>
      </c>
      <c r="D390" s="191" t="s">
        <v>1616</v>
      </c>
      <c r="E390" s="191">
        <v>40988</v>
      </c>
      <c r="F390" s="192" t="s">
        <v>1238</v>
      </c>
      <c r="G390" s="490" t="s">
        <v>949</v>
      </c>
      <c r="H390" s="7" t="s">
        <v>632</v>
      </c>
      <c r="I390" s="252">
        <v>2985</v>
      </c>
      <c r="J390" s="252">
        <v>5600</v>
      </c>
      <c r="K390" s="615">
        <f>ROUND(I390*J390,0)</f>
        <v>16716000</v>
      </c>
      <c r="L390" s="194" t="s">
        <v>284</v>
      </c>
      <c r="M390" s="194" t="s">
        <v>185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211"/>
      <c r="AB390" s="211"/>
      <c r="AC390" s="211"/>
      <c r="AD390" s="211"/>
    </row>
    <row r="391" spans="1:30" s="849" customFormat="1" ht="15.75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>E391</f>
        <v>40988</v>
      </c>
      <c r="D391" s="191" t="s">
        <v>1616</v>
      </c>
      <c r="E391" s="191">
        <v>40988</v>
      </c>
      <c r="F391" s="192" t="s">
        <v>1166</v>
      </c>
      <c r="G391" s="490" t="s">
        <v>949</v>
      </c>
      <c r="H391" s="7" t="s">
        <v>632</v>
      </c>
      <c r="I391" s="252">
        <v>622</v>
      </c>
      <c r="J391" s="252">
        <v>5098</v>
      </c>
      <c r="K391" s="615">
        <f>ROUND(I391*J391,0)</f>
        <v>3170956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849" customFormat="1" ht="15.75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>E392</f>
        <v>40988</v>
      </c>
      <c r="D392" s="191" t="s">
        <v>1616</v>
      </c>
      <c r="E392" s="191">
        <v>40988</v>
      </c>
      <c r="F392" s="192" t="s">
        <v>555</v>
      </c>
      <c r="G392" s="490" t="s">
        <v>949</v>
      </c>
      <c r="H392" s="7" t="s">
        <v>632</v>
      </c>
      <c r="I392" s="252"/>
      <c r="J392" s="252"/>
      <c r="K392" s="615">
        <v>1988695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849" customFormat="1" ht="15.75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40989</v>
      </c>
      <c r="D393" s="184" t="s">
        <v>1650</v>
      </c>
      <c r="E393" s="191">
        <v>40989</v>
      </c>
      <c r="F393" s="189" t="s">
        <v>559</v>
      </c>
      <c r="G393" s="490" t="s">
        <v>361</v>
      </c>
      <c r="H393" s="7" t="s">
        <v>397</v>
      </c>
      <c r="I393" s="252"/>
      <c r="J393" s="252"/>
      <c r="K393" s="615">
        <v>31000000</v>
      </c>
      <c r="L393" s="194" t="s">
        <v>48</v>
      </c>
      <c r="M393" s="194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>x</v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6"/>
      <c r="AB393" s="606"/>
      <c r="AC393" s="198"/>
      <c r="AD393" s="198"/>
    </row>
    <row r="394" spans="1:30" s="849" customFormat="1" ht="15.75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f t="shared" ref="C394:C402" si="31">E394</f>
        <v>40989</v>
      </c>
      <c r="D394" s="191" t="s">
        <v>1617</v>
      </c>
      <c r="E394" s="191">
        <v>40989</v>
      </c>
      <c r="F394" s="192" t="s">
        <v>1237</v>
      </c>
      <c r="G394" s="490" t="s">
        <v>950</v>
      </c>
      <c r="H394" s="193" t="s">
        <v>951</v>
      </c>
      <c r="I394" s="252">
        <v>1030</v>
      </c>
      <c r="J394" s="252">
        <v>11850</v>
      </c>
      <c r="K394" s="615">
        <f>ROUND(I394*J394,0)</f>
        <v>12205500</v>
      </c>
      <c r="L394" s="194" t="s">
        <v>284</v>
      </c>
      <c r="M394" s="194" t="s">
        <v>185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211"/>
      <c r="AB394" s="211"/>
      <c r="AC394" s="211"/>
      <c r="AD394" s="211"/>
    </row>
    <row r="395" spans="1:30" s="849" customFormat="1" ht="15.75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f t="shared" si="31"/>
        <v>40989</v>
      </c>
      <c r="D395" s="191" t="s">
        <v>1617</v>
      </c>
      <c r="E395" s="191">
        <v>40989</v>
      </c>
      <c r="F395" s="192" t="s">
        <v>555</v>
      </c>
      <c r="G395" s="490" t="s">
        <v>950</v>
      </c>
      <c r="H395" s="193" t="s">
        <v>951</v>
      </c>
      <c r="I395" s="252"/>
      <c r="J395" s="252"/>
      <c r="K395" s="615">
        <v>1220550</v>
      </c>
      <c r="L395" s="194" t="s">
        <v>284</v>
      </c>
      <c r="M395" s="194" t="s">
        <v>495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198"/>
      <c r="AB395" s="198"/>
      <c r="AC395" s="198"/>
      <c r="AD395" s="198"/>
    </row>
    <row r="396" spans="1:30" s="849" customFormat="1" ht="15.75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f t="shared" si="31"/>
        <v>40989</v>
      </c>
      <c r="D396" s="191" t="s">
        <v>1651</v>
      </c>
      <c r="E396" s="191">
        <v>40989</v>
      </c>
      <c r="F396" s="192" t="s">
        <v>365</v>
      </c>
      <c r="G396" s="490" t="s">
        <v>950</v>
      </c>
      <c r="H396" s="193" t="s">
        <v>951</v>
      </c>
      <c r="I396" s="252"/>
      <c r="J396" s="252"/>
      <c r="K396" s="615">
        <v>13426050</v>
      </c>
      <c r="L396" s="194" t="s">
        <v>48</v>
      </c>
      <c r="M396" s="194" t="s">
        <v>284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>x</v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/>
      <c r="AB396" s="198"/>
      <c r="AC396" s="198"/>
      <c r="AD396" s="198"/>
    </row>
    <row r="397" spans="1:30" s="849" customFormat="1" ht="15.75" customHeight="1">
      <c r="A397" s="204" t="str">
        <f>IF(B397&lt;&gt;"",IF(AND(B397&gt;=_TM1,B397&lt;=_TM2,OR(TH!L397="1111",TH!M397="1111")),TH!D397,""),"")</f>
        <v/>
      </c>
      <c r="B397" s="36">
        <f t="shared" si="30"/>
        <v>3</v>
      </c>
      <c r="C397" s="191">
        <f t="shared" si="31"/>
        <v>40989</v>
      </c>
      <c r="D397" s="191" t="s">
        <v>1618</v>
      </c>
      <c r="E397" s="191">
        <v>40989</v>
      </c>
      <c r="F397" s="192" t="s">
        <v>952</v>
      </c>
      <c r="G397" s="490" t="s">
        <v>953</v>
      </c>
      <c r="H397" s="45" t="s">
        <v>954</v>
      </c>
      <c r="I397" s="252">
        <v>210</v>
      </c>
      <c r="J397" s="252">
        <v>21779</v>
      </c>
      <c r="K397" s="615">
        <f>ROUND(I397*J397,0)</f>
        <v>4573590</v>
      </c>
      <c r="L397" s="194" t="s">
        <v>284</v>
      </c>
      <c r="M397" s="194" t="s">
        <v>185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211"/>
      <c r="AC397" s="211"/>
      <c r="AD397" s="211"/>
    </row>
    <row r="398" spans="1:30" s="849" customFormat="1" ht="15.75" customHeight="1">
      <c r="A398" s="204" t="str">
        <f>IF(B398&lt;&gt;"",IF(AND(B398&gt;=_TM1,B398&lt;=_TM2,OR(TH!L398="1111",TH!M398="1111")),TH!D398,""),"")</f>
        <v/>
      </c>
      <c r="B398" s="36">
        <f t="shared" si="30"/>
        <v>3</v>
      </c>
      <c r="C398" s="191">
        <f t="shared" si="31"/>
        <v>40989</v>
      </c>
      <c r="D398" s="191" t="s">
        <v>1618</v>
      </c>
      <c r="E398" s="191">
        <v>40989</v>
      </c>
      <c r="F398" s="192" t="s">
        <v>1239</v>
      </c>
      <c r="G398" s="490" t="s">
        <v>953</v>
      </c>
      <c r="H398" s="45" t="s">
        <v>954</v>
      </c>
      <c r="I398" s="252">
        <v>210</v>
      </c>
      <c r="J398" s="252">
        <v>4600</v>
      </c>
      <c r="K398" s="615">
        <f>ROUND(I398*J398,0)</f>
        <v>966000</v>
      </c>
      <c r="L398" s="194" t="s">
        <v>284</v>
      </c>
      <c r="M398" s="194" t="s">
        <v>185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211"/>
      <c r="AC398" s="211"/>
      <c r="AD398" s="211"/>
    </row>
    <row r="399" spans="1:30" s="849" customFormat="1" ht="15.75" customHeight="1">
      <c r="A399" s="204" t="str">
        <f>IF(B399&lt;&gt;"",IF(AND(B399&gt;=_TM1,B399&lt;=_TM2,OR(TH!L399="1111",TH!M399="1111")),TH!D399,""),"")</f>
        <v/>
      </c>
      <c r="B399" s="36">
        <f t="shared" si="30"/>
        <v>3</v>
      </c>
      <c r="C399" s="191">
        <f t="shared" si="31"/>
        <v>40989</v>
      </c>
      <c r="D399" s="191" t="s">
        <v>1618</v>
      </c>
      <c r="E399" s="191">
        <v>40989</v>
      </c>
      <c r="F399" s="192" t="s">
        <v>555</v>
      </c>
      <c r="G399" s="490" t="s">
        <v>953</v>
      </c>
      <c r="H399" s="45" t="s">
        <v>954</v>
      </c>
      <c r="I399" s="252"/>
      <c r="J399" s="252"/>
      <c r="K399" s="615">
        <v>553959</v>
      </c>
      <c r="L399" s="194" t="s">
        <v>284</v>
      </c>
      <c r="M399" s="194" t="s">
        <v>495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198"/>
      <c r="AB399" s="198"/>
      <c r="AC399" s="198"/>
      <c r="AD399" s="198"/>
    </row>
    <row r="400" spans="1:30" s="849" customFormat="1" ht="15.75" customHeight="1">
      <c r="A400" s="204" t="str">
        <f>IF(B400&lt;&gt;"",IF(AND(B400&gt;=_TM1,B400&lt;=_TM2,OR(TH!L400="1111",TH!M400="1111")),TH!D400,""),"")</f>
        <v/>
      </c>
      <c r="B400" s="36">
        <f t="shared" si="30"/>
        <v>3</v>
      </c>
      <c r="C400" s="191">
        <f t="shared" si="31"/>
        <v>40989</v>
      </c>
      <c r="D400" s="191" t="s">
        <v>1652</v>
      </c>
      <c r="E400" s="191">
        <v>40989</v>
      </c>
      <c r="F400" s="192" t="s">
        <v>365</v>
      </c>
      <c r="G400" s="490" t="s">
        <v>953</v>
      </c>
      <c r="H400" s="45" t="s">
        <v>954</v>
      </c>
      <c r="I400" s="252"/>
      <c r="J400" s="252"/>
      <c r="K400" s="615">
        <v>6093549</v>
      </c>
      <c r="L400" s="194" t="s">
        <v>48</v>
      </c>
      <c r="M400" s="194" t="s">
        <v>284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>x</v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198"/>
      <c r="AB400" s="198"/>
      <c r="AC400" s="198"/>
      <c r="AD400" s="198"/>
    </row>
    <row r="401" spans="1:30" s="849" customFormat="1" ht="15.75" customHeight="1">
      <c r="A401" s="204" t="str">
        <f>IF(B401&lt;&gt;"",IF(AND(B401&gt;=_TM1,B401&lt;=_TM2,OR(TH!L401="1111",TH!M401="1111")),TH!D401,""),"")</f>
        <v/>
      </c>
      <c r="B401" s="36">
        <f t="shared" si="30"/>
        <v>3</v>
      </c>
      <c r="C401" s="191">
        <f t="shared" si="31"/>
        <v>40989</v>
      </c>
      <c r="D401" s="191" t="s">
        <v>1619</v>
      </c>
      <c r="E401" s="191">
        <v>40989</v>
      </c>
      <c r="F401" s="189" t="s">
        <v>1206</v>
      </c>
      <c r="G401" s="490" t="s">
        <v>955</v>
      </c>
      <c r="H401" s="193" t="s">
        <v>596</v>
      </c>
      <c r="I401" s="252">
        <v>308</v>
      </c>
      <c r="J401" s="252">
        <v>15720</v>
      </c>
      <c r="K401" s="615">
        <f>ROUND(I401*J401,0)</f>
        <v>4841760</v>
      </c>
      <c r="L401" s="194" t="s">
        <v>284</v>
      </c>
      <c r="M401" s="194" t="s">
        <v>185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  <c r="AB401" s="211"/>
      <c r="AC401" s="211"/>
      <c r="AD401" s="211"/>
    </row>
    <row r="402" spans="1:30" s="849" customFormat="1" ht="15.75" customHeight="1">
      <c r="A402" s="204" t="str">
        <f>IF(B402&lt;&gt;"",IF(AND(B402&gt;=_TM1,B402&lt;=_TM2,OR(TH!L402="1111",TH!M402="1111")),TH!D402,""),"")</f>
        <v/>
      </c>
      <c r="B402" s="36">
        <f t="shared" si="30"/>
        <v>3</v>
      </c>
      <c r="C402" s="191">
        <f t="shared" si="31"/>
        <v>40989</v>
      </c>
      <c r="D402" s="191" t="s">
        <v>1619</v>
      </c>
      <c r="E402" s="191">
        <v>40989</v>
      </c>
      <c r="F402" s="192" t="s">
        <v>555</v>
      </c>
      <c r="G402" s="490" t="s">
        <v>955</v>
      </c>
      <c r="H402" s="193" t="s">
        <v>596</v>
      </c>
      <c r="I402" s="252"/>
      <c r="J402" s="252"/>
      <c r="K402" s="615">
        <v>484176</v>
      </c>
      <c r="L402" s="194" t="s">
        <v>284</v>
      </c>
      <c r="M402" s="194" t="s">
        <v>495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/>
      <c r="AB402" s="198"/>
      <c r="AC402" s="198"/>
      <c r="AD402" s="198"/>
    </row>
    <row r="403" spans="1:30" s="849" customFormat="1" ht="15.75" customHeight="1">
      <c r="A403" s="204" t="str">
        <f>IF(B403&lt;&gt;"",IF(AND(B403&gt;=_TM1,B403&lt;=_TM2,OR(TH!L403="1111",TH!M403="1111")),TH!D403,""),"")</f>
        <v/>
      </c>
      <c r="B403" s="36">
        <f t="shared" si="30"/>
        <v>3</v>
      </c>
      <c r="C403" s="191">
        <v>40991</v>
      </c>
      <c r="D403" s="184" t="s">
        <v>474</v>
      </c>
      <c r="E403" s="191">
        <v>40991</v>
      </c>
      <c r="F403" s="189" t="s">
        <v>664</v>
      </c>
      <c r="G403" s="490" t="s">
        <v>665</v>
      </c>
      <c r="H403" s="7" t="s">
        <v>606</v>
      </c>
      <c r="I403" s="252">
        <v>436</v>
      </c>
      <c r="J403" s="252">
        <v>25225</v>
      </c>
      <c r="K403" s="38">
        <v>10998100</v>
      </c>
      <c r="L403" s="194" t="s">
        <v>169</v>
      </c>
      <c r="M403" s="61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606"/>
      <c r="AB403" s="606"/>
      <c r="AC403" s="198"/>
      <c r="AD403" s="198"/>
    </row>
    <row r="404" spans="1:30" s="849" customFormat="1" ht="15.75" customHeight="1">
      <c r="A404" s="204" t="str">
        <f>IF(B404&lt;&gt;"",IF(AND(B404&gt;=_TM1,B404&lt;=_TM2,OR(TH!L404="1111",TH!M404="1111")),TH!D404,""),"")</f>
        <v/>
      </c>
      <c r="B404" s="36">
        <f t="shared" si="30"/>
        <v>3</v>
      </c>
      <c r="C404" s="191">
        <v>40991</v>
      </c>
      <c r="D404" s="184" t="s">
        <v>474</v>
      </c>
      <c r="E404" s="191">
        <v>40991</v>
      </c>
      <c r="F404" s="192" t="s">
        <v>663</v>
      </c>
      <c r="G404" s="490" t="s">
        <v>665</v>
      </c>
      <c r="H404" s="193" t="s">
        <v>606</v>
      </c>
      <c r="I404" s="252">
        <v>342</v>
      </c>
      <c r="J404" s="252">
        <v>28538</v>
      </c>
      <c r="K404" s="38">
        <v>9759996</v>
      </c>
      <c r="L404" s="194" t="s">
        <v>169</v>
      </c>
      <c r="M404" s="61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606"/>
      <c r="AB404" s="606"/>
      <c r="AC404" s="198"/>
      <c r="AD404" s="198"/>
    </row>
    <row r="405" spans="1:30" s="849" customFormat="1" ht="15.75" customHeight="1">
      <c r="A405" s="204" t="str">
        <f>IF(B405&lt;&gt;"",IF(AND(B405&gt;=_TM1,B405&lt;=_TM2,OR(TH!L405="1111",TH!M405="1111")),TH!D405,""),"")</f>
        <v/>
      </c>
      <c r="B405" s="36">
        <f t="shared" si="30"/>
        <v>3</v>
      </c>
      <c r="C405" s="191">
        <v>40991</v>
      </c>
      <c r="D405" s="184" t="s">
        <v>474</v>
      </c>
      <c r="E405" s="191">
        <v>40991</v>
      </c>
      <c r="F405" s="192" t="s">
        <v>666</v>
      </c>
      <c r="G405" s="490" t="s">
        <v>665</v>
      </c>
      <c r="H405" s="193" t="s">
        <v>606</v>
      </c>
      <c r="I405" s="252">
        <v>130</v>
      </c>
      <c r="J405" s="252">
        <v>25480</v>
      </c>
      <c r="K405" s="38">
        <v>3312400</v>
      </c>
      <c r="L405" s="194" t="s">
        <v>169</v>
      </c>
      <c r="M405" s="61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606"/>
      <c r="AC405" s="198"/>
      <c r="AD405" s="198"/>
    </row>
    <row r="406" spans="1:30" s="849" customFormat="1" ht="15.75" customHeight="1">
      <c r="A406" s="204" t="str">
        <f>IF(B406&lt;&gt;"",IF(AND(B406&gt;=_TM1,B406&lt;=_TM2,OR(TH!L406="1111",TH!M406="1111")),TH!D406,""),"")</f>
        <v/>
      </c>
      <c r="B406" s="36">
        <f t="shared" si="30"/>
        <v>3</v>
      </c>
      <c r="C406" s="191">
        <v>40991</v>
      </c>
      <c r="D406" s="184" t="s">
        <v>474</v>
      </c>
      <c r="E406" s="191">
        <v>40991</v>
      </c>
      <c r="F406" s="192" t="s">
        <v>620</v>
      </c>
      <c r="G406" s="490" t="s">
        <v>665</v>
      </c>
      <c r="H406" s="193" t="s">
        <v>606</v>
      </c>
      <c r="I406" s="254"/>
      <c r="J406" s="254"/>
      <c r="K406" s="615">
        <v>2407050</v>
      </c>
      <c r="L406" s="194" t="s">
        <v>9</v>
      </c>
      <c r="M406" s="616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198">
        <v>3</v>
      </c>
      <c r="AB406" s="606"/>
      <c r="AC406" s="198"/>
      <c r="AD406" s="198"/>
    </row>
    <row r="407" spans="1:30" s="849" customFormat="1" ht="15.75" customHeight="1">
      <c r="A407" s="204" t="str">
        <f>IF(B407&lt;&gt;"",IF(AND(B407&gt;=_TM1,B407&lt;=_TM2,OR(TH!L407="1111",TH!M407="1111")),TH!D407,""),"")</f>
        <v/>
      </c>
      <c r="B407" s="36">
        <f t="shared" ref="B407:B470" si="32">IF(C407&lt;&gt;"",MONTH(C407),"")</f>
        <v>3</v>
      </c>
      <c r="C407" s="191">
        <v>40992</v>
      </c>
      <c r="D407" s="184" t="s">
        <v>363</v>
      </c>
      <c r="E407" s="191">
        <v>40992</v>
      </c>
      <c r="F407" s="192" t="s">
        <v>398</v>
      </c>
      <c r="G407" s="490" t="s">
        <v>361</v>
      </c>
      <c r="H407" s="193"/>
      <c r="I407" s="252"/>
      <c r="J407" s="252"/>
      <c r="K407" s="615">
        <v>54015</v>
      </c>
      <c r="L407" s="194" t="s">
        <v>24</v>
      </c>
      <c r="M407" s="194" t="s">
        <v>40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>x</v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606"/>
      <c r="AC407" s="198"/>
      <c r="AD407" s="198"/>
    </row>
    <row r="408" spans="1:30" s="849" customFormat="1" ht="15.75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v>40992</v>
      </c>
      <c r="D408" s="184" t="s">
        <v>475</v>
      </c>
      <c r="E408" s="191">
        <v>40992</v>
      </c>
      <c r="F408" s="192" t="s">
        <v>667</v>
      </c>
      <c r="G408" s="490" t="s">
        <v>668</v>
      </c>
      <c r="H408" s="193" t="s">
        <v>606</v>
      </c>
      <c r="I408" s="252">
        <v>254</v>
      </c>
      <c r="J408" s="252">
        <v>16565</v>
      </c>
      <c r="K408" s="615">
        <v>4207510</v>
      </c>
      <c r="L408" s="194" t="s">
        <v>169</v>
      </c>
      <c r="M408" s="61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606"/>
      <c r="AB408" s="606"/>
      <c r="AC408" s="198"/>
      <c r="AD408" s="198"/>
    </row>
    <row r="409" spans="1:30" s="849" customFormat="1" ht="15.75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91">
        <v>40992</v>
      </c>
      <c r="D409" s="184" t="s">
        <v>475</v>
      </c>
      <c r="E409" s="191">
        <v>40992</v>
      </c>
      <c r="F409" s="192" t="s">
        <v>669</v>
      </c>
      <c r="G409" s="490" t="s">
        <v>668</v>
      </c>
      <c r="H409" s="193" t="s">
        <v>606</v>
      </c>
      <c r="I409" s="252">
        <v>760</v>
      </c>
      <c r="J409" s="252">
        <v>12936</v>
      </c>
      <c r="K409" s="615">
        <v>9831360</v>
      </c>
      <c r="L409" s="194" t="s">
        <v>169</v>
      </c>
      <c r="M409" s="61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6"/>
      <c r="AB409" s="606"/>
      <c r="AC409" s="198"/>
      <c r="AD409" s="198"/>
    </row>
    <row r="410" spans="1:30" s="849" customFormat="1" ht="15.75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91">
        <v>40992</v>
      </c>
      <c r="D410" s="184" t="s">
        <v>475</v>
      </c>
      <c r="E410" s="191">
        <v>40992</v>
      </c>
      <c r="F410" s="192" t="s">
        <v>670</v>
      </c>
      <c r="G410" s="490" t="s">
        <v>668</v>
      </c>
      <c r="H410" s="193" t="s">
        <v>606</v>
      </c>
      <c r="I410" s="255">
        <v>103</v>
      </c>
      <c r="J410" s="255">
        <v>8555</v>
      </c>
      <c r="K410" s="38">
        <v>881165</v>
      </c>
      <c r="L410" s="194" t="s">
        <v>169</v>
      </c>
      <c r="M410" s="61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606"/>
      <c r="AB410" s="606"/>
      <c r="AC410" s="198"/>
      <c r="AD410" s="198"/>
    </row>
    <row r="411" spans="1:30" s="849" customFormat="1" ht="15.75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40992</v>
      </c>
      <c r="D411" s="184" t="s">
        <v>475</v>
      </c>
      <c r="E411" s="191">
        <v>40992</v>
      </c>
      <c r="F411" s="297" t="s">
        <v>671</v>
      </c>
      <c r="G411" s="490" t="s">
        <v>668</v>
      </c>
      <c r="H411" s="7" t="s">
        <v>606</v>
      </c>
      <c r="I411" s="254">
        <v>118</v>
      </c>
      <c r="J411" s="254">
        <v>12260</v>
      </c>
      <c r="K411" s="615">
        <v>1446680</v>
      </c>
      <c r="L411" s="194" t="s">
        <v>169</v>
      </c>
      <c r="M411" s="61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6"/>
      <c r="AB411" s="606"/>
      <c r="AC411" s="198"/>
      <c r="AD411" s="198"/>
    </row>
    <row r="412" spans="1:30" s="849" customFormat="1" ht="15.75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40992</v>
      </c>
      <c r="D412" s="184" t="s">
        <v>475</v>
      </c>
      <c r="E412" s="191">
        <v>40992</v>
      </c>
      <c r="F412" s="192" t="s">
        <v>620</v>
      </c>
      <c r="G412" s="490" t="s">
        <v>668</v>
      </c>
      <c r="H412" s="7" t="s">
        <v>606</v>
      </c>
      <c r="I412" s="252"/>
      <c r="J412" s="252"/>
      <c r="K412" s="38">
        <v>1636672</v>
      </c>
      <c r="L412" s="194" t="s">
        <v>9</v>
      </c>
      <c r="M412" s="61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606"/>
      <c r="AC412" s="198"/>
      <c r="AD412" s="198"/>
    </row>
    <row r="413" spans="1:30" s="849" customFormat="1" ht="15.75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40992</v>
      </c>
      <c r="D413" s="184" t="s">
        <v>452</v>
      </c>
      <c r="E413" s="191">
        <v>40992</v>
      </c>
      <c r="F413" s="192" t="s">
        <v>400</v>
      </c>
      <c r="G413" s="490" t="s">
        <v>668</v>
      </c>
      <c r="H413" s="7" t="s">
        <v>606</v>
      </c>
      <c r="I413" s="252"/>
      <c r="J413" s="252"/>
      <c r="K413" s="38">
        <v>18003387</v>
      </c>
      <c r="L413" s="616" t="s">
        <v>8</v>
      </c>
      <c r="M413" s="616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606"/>
      <c r="AC413" s="198"/>
      <c r="AD413" s="198"/>
    </row>
    <row r="414" spans="1:30" s="849" customFormat="1" ht="15.75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84">
        <v>40994</v>
      </c>
      <c r="D414" s="184" t="s">
        <v>363</v>
      </c>
      <c r="E414" s="184">
        <v>40994</v>
      </c>
      <c r="F414" s="189" t="s">
        <v>365</v>
      </c>
      <c r="G414" s="617" t="s">
        <v>361</v>
      </c>
      <c r="H414" s="7" t="s">
        <v>632</v>
      </c>
      <c r="I414" s="252"/>
      <c r="J414" s="252"/>
      <c r="K414" s="615">
        <v>21875651</v>
      </c>
      <c r="L414" s="616" t="s">
        <v>24</v>
      </c>
      <c r="M414" s="616" t="s">
        <v>284</v>
      </c>
      <c r="N414" s="52" t="str">
        <f>IF(AND('331-CT'!$E$7=TH!H414,OR(L414="331",M414="331")),"331",IF(AND(OR(L414="131",M414="131"),H414='131-CT'!$E$7),"131",""))</f>
        <v>131</v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>x</v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211"/>
      <c r="AC414" s="198"/>
      <c r="AD414" s="198"/>
    </row>
    <row r="415" spans="1:30" s="849" customFormat="1" ht="15.75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f>E415</f>
        <v>40995</v>
      </c>
      <c r="D415" s="191" t="s">
        <v>1620</v>
      </c>
      <c r="E415" s="191">
        <v>40995</v>
      </c>
      <c r="F415" s="192" t="s">
        <v>1229</v>
      </c>
      <c r="G415" s="490" t="s">
        <v>956</v>
      </c>
      <c r="H415" s="193" t="s">
        <v>948</v>
      </c>
      <c r="I415" s="252">
        <v>2261</v>
      </c>
      <c r="J415" s="252">
        <v>5300</v>
      </c>
      <c r="K415" s="615">
        <f>ROUND(I415*J415,0)</f>
        <v>11983300</v>
      </c>
      <c r="L415" s="194" t="s">
        <v>284</v>
      </c>
      <c r="M415" s="194" t="s">
        <v>185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211"/>
      <c r="AB415" s="211"/>
      <c r="AC415" s="211"/>
      <c r="AD415" s="211"/>
    </row>
    <row r="416" spans="1:30" s="849" customFormat="1" ht="15.75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f>E416</f>
        <v>40995</v>
      </c>
      <c r="D416" s="191" t="s">
        <v>1620</v>
      </c>
      <c r="E416" s="191">
        <v>40995</v>
      </c>
      <c r="F416" s="192" t="s">
        <v>1227</v>
      </c>
      <c r="G416" s="490" t="s">
        <v>956</v>
      </c>
      <c r="H416" s="193" t="s">
        <v>948</v>
      </c>
      <c r="I416" s="252">
        <v>103</v>
      </c>
      <c r="J416" s="252">
        <v>9090</v>
      </c>
      <c r="K416" s="615">
        <f>ROUND(I416*J416,0)</f>
        <v>936270</v>
      </c>
      <c r="L416" s="194" t="s">
        <v>284</v>
      </c>
      <c r="M416" s="194" t="s">
        <v>185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211"/>
      <c r="AC416" s="211"/>
      <c r="AD416" s="211"/>
    </row>
    <row r="417" spans="1:30" s="849" customFormat="1" ht="15.75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f>E417</f>
        <v>40995</v>
      </c>
      <c r="D417" s="191" t="s">
        <v>1620</v>
      </c>
      <c r="E417" s="191">
        <v>40995</v>
      </c>
      <c r="F417" s="870" t="s">
        <v>1228</v>
      </c>
      <c r="G417" s="490" t="s">
        <v>956</v>
      </c>
      <c r="H417" s="193" t="s">
        <v>948</v>
      </c>
      <c r="I417" s="252">
        <v>400</v>
      </c>
      <c r="J417" s="252">
        <v>550</v>
      </c>
      <c r="K417" s="615">
        <f>ROUND(I417*J417,0)</f>
        <v>220000</v>
      </c>
      <c r="L417" s="194" t="s">
        <v>284</v>
      </c>
      <c r="M417" s="194" t="s">
        <v>185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211"/>
      <c r="AB417" s="211"/>
      <c r="AC417" s="211"/>
      <c r="AD417" s="211"/>
    </row>
    <row r="418" spans="1:30" s="849" customFormat="1" ht="15.75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40995</v>
      </c>
      <c r="D418" s="191" t="s">
        <v>1620</v>
      </c>
      <c r="E418" s="191">
        <v>40995</v>
      </c>
      <c r="F418" s="870" t="s">
        <v>555</v>
      </c>
      <c r="G418" s="490" t="s">
        <v>956</v>
      </c>
      <c r="H418" s="193" t="s">
        <v>948</v>
      </c>
      <c r="I418" s="254"/>
      <c r="J418" s="254"/>
      <c r="K418" s="615">
        <v>1313957</v>
      </c>
      <c r="L418" s="194" t="s">
        <v>284</v>
      </c>
      <c r="M418" s="194" t="s">
        <v>495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198"/>
      <c r="AB418" s="198"/>
      <c r="AC418" s="198"/>
      <c r="AD418" s="198"/>
    </row>
    <row r="419" spans="1:30" s="849" customFormat="1" ht="15.75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40995</v>
      </c>
      <c r="D419" s="191" t="s">
        <v>1653</v>
      </c>
      <c r="E419" s="191">
        <v>40995</v>
      </c>
      <c r="F419" s="192" t="s">
        <v>365</v>
      </c>
      <c r="G419" s="490" t="s">
        <v>956</v>
      </c>
      <c r="H419" s="193" t="s">
        <v>948</v>
      </c>
      <c r="I419" s="254"/>
      <c r="J419" s="254"/>
      <c r="K419" s="615">
        <v>14453527</v>
      </c>
      <c r="L419" s="194" t="s">
        <v>48</v>
      </c>
      <c r="M419" s="194" t="s">
        <v>284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>x</v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849" customFormat="1" ht="15.75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84">
        <v>40996</v>
      </c>
      <c r="D420" s="184" t="s">
        <v>476</v>
      </c>
      <c r="E420" s="184">
        <v>40996</v>
      </c>
      <c r="F420" s="189" t="s">
        <v>672</v>
      </c>
      <c r="G420" s="617" t="s">
        <v>673</v>
      </c>
      <c r="H420" s="7" t="s">
        <v>674</v>
      </c>
      <c r="I420" s="252">
        <v>250</v>
      </c>
      <c r="J420" s="252">
        <v>24720</v>
      </c>
      <c r="K420" s="615">
        <v>6180000</v>
      </c>
      <c r="L420" s="616" t="s">
        <v>169</v>
      </c>
      <c r="M420" s="61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6"/>
      <c r="AB420" s="606"/>
      <c r="AC420" s="198"/>
      <c r="AD420" s="198"/>
    </row>
    <row r="421" spans="1:30" s="849" customFormat="1" ht="15.75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40996</v>
      </c>
      <c r="D421" s="184" t="s">
        <v>476</v>
      </c>
      <c r="E421" s="184">
        <v>40996</v>
      </c>
      <c r="F421" s="874" t="s">
        <v>675</v>
      </c>
      <c r="G421" s="617" t="s">
        <v>673</v>
      </c>
      <c r="H421" s="7" t="s">
        <v>674</v>
      </c>
      <c r="I421" s="252">
        <v>100</v>
      </c>
      <c r="J421" s="252">
        <v>13370</v>
      </c>
      <c r="K421" s="615">
        <v>1337000</v>
      </c>
      <c r="L421" s="616" t="s">
        <v>169</v>
      </c>
      <c r="M421" s="61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211"/>
      <c r="AB421" s="606"/>
      <c r="AC421" s="198"/>
      <c r="AD421" s="198"/>
    </row>
    <row r="422" spans="1:30" s="849" customFormat="1" ht="15.75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91">
        <v>40996</v>
      </c>
      <c r="D422" s="184" t="s">
        <v>476</v>
      </c>
      <c r="E422" s="191">
        <v>40996</v>
      </c>
      <c r="F422" s="874" t="s">
        <v>676</v>
      </c>
      <c r="G422" s="490" t="s">
        <v>673</v>
      </c>
      <c r="H422" s="7" t="s">
        <v>674</v>
      </c>
      <c r="I422" s="252">
        <v>1000</v>
      </c>
      <c r="J422" s="252">
        <v>10130</v>
      </c>
      <c r="K422" s="615">
        <v>10130000</v>
      </c>
      <c r="L422" s="194" t="s">
        <v>169</v>
      </c>
      <c r="M422" s="61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6"/>
      <c r="AB422" s="606"/>
      <c r="AC422" s="198"/>
      <c r="AD422" s="198"/>
    </row>
    <row r="423" spans="1:30" s="849" customFormat="1" ht="15.75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v>40996</v>
      </c>
      <c r="D423" s="184" t="s">
        <v>476</v>
      </c>
      <c r="E423" s="191">
        <v>40996</v>
      </c>
      <c r="F423" s="189" t="s">
        <v>677</v>
      </c>
      <c r="G423" s="490" t="s">
        <v>673</v>
      </c>
      <c r="H423" s="7" t="s">
        <v>674</v>
      </c>
      <c r="I423" s="252"/>
      <c r="J423" s="252"/>
      <c r="K423" s="38">
        <v>1764700</v>
      </c>
      <c r="L423" s="194" t="s">
        <v>9</v>
      </c>
      <c r="M423" s="61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>
        <v>3</v>
      </c>
      <c r="AB423" s="211"/>
    </row>
    <row r="424" spans="1:30" s="849" customFormat="1" ht="15.75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v>40996</v>
      </c>
      <c r="D424" s="184" t="s">
        <v>453</v>
      </c>
      <c r="E424" s="191">
        <v>40996</v>
      </c>
      <c r="F424" s="189" t="s">
        <v>400</v>
      </c>
      <c r="G424" s="490" t="s">
        <v>673</v>
      </c>
      <c r="H424" s="7" t="s">
        <v>674</v>
      </c>
      <c r="I424" s="252"/>
      <c r="J424" s="252"/>
      <c r="K424" s="38">
        <v>19411700</v>
      </c>
      <c r="L424" s="616" t="s">
        <v>8</v>
      </c>
      <c r="M424" s="616" t="s">
        <v>48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211"/>
    </row>
    <row r="425" spans="1:30" s="849" customFormat="1" ht="15.75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v>40996</v>
      </c>
      <c r="D425" s="184" t="s">
        <v>454</v>
      </c>
      <c r="E425" s="191">
        <v>40996</v>
      </c>
      <c r="F425" s="192" t="s">
        <v>678</v>
      </c>
      <c r="G425" s="490" t="s">
        <v>679</v>
      </c>
      <c r="H425" s="7" t="s">
        <v>627</v>
      </c>
      <c r="I425" s="254"/>
      <c r="J425" s="254"/>
      <c r="K425" s="38">
        <v>2280000</v>
      </c>
      <c r="L425" s="194" t="s">
        <v>175</v>
      </c>
      <c r="M425" s="194" t="s">
        <v>48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>x</v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606"/>
      <c r="AB425" s="606"/>
    </row>
    <row r="426" spans="1:30" s="849" customFormat="1" ht="15.75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v>40996</v>
      </c>
      <c r="D426" s="184" t="s">
        <v>454</v>
      </c>
      <c r="E426" s="191">
        <v>40996</v>
      </c>
      <c r="F426" s="192" t="s">
        <v>372</v>
      </c>
      <c r="G426" s="490" t="s">
        <v>679</v>
      </c>
      <c r="H426" s="193" t="s">
        <v>627</v>
      </c>
      <c r="I426" s="252"/>
      <c r="J426" s="252"/>
      <c r="K426" s="615">
        <v>228000</v>
      </c>
      <c r="L426" s="194" t="s">
        <v>9</v>
      </c>
      <c r="M426" s="194" t="s">
        <v>48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198">
        <v>3</v>
      </c>
      <c r="AB426" s="606"/>
    </row>
    <row r="427" spans="1:30" s="849" customFormat="1" ht="15.75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v>40996</v>
      </c>
      <c r="D427" s="184" t="s">
        <v>455</v>
      </c>
      <c r="E427" s="191">
        <v>40996</v>
      </c>
      <c r="F427" s="192" t="s">
        <v>680</v>
      </c>
      <c r="G427" s="490" t="s">
        <v>681</v>
      </c>
      <c r="H427" s="193" t="s">
        <v>627</v>
      </c>
      <c r="I427" s="252"/>
      <c r="J427" s="252"/>
      <c r="K427" s="615">
        <v>7680000</v>
      </c>
      <c r="L427" s="194" t="s">
        <v>175</v>
      </c>
      <c r="M427" s="194" t="s">
        <v>48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>x</v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606"/>
      <c r="AB427" s="606"/>
    </row>
    <row r="428" spans="1:30" s="849" customFormat="1" ht="15.75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v>40996</v>
      </c>
      <c r="D428" s="184" t="s">
        <v>455</v>
      </c>
      <c r="E428" s="191">
        <v>40996</v>
      </c>
      <c r="F428" s="192" t="s">
        <v>372</v>
      </c>
      <c r="G428" s="490" t="s">
        <v>681</v>
      </c>
      <c r="H428" s="193" t="s">
        <v>627</v>
      </c>
      <c r="I428" s="252"/>
      <c r="J428" s="252"/>
      <c r="K428" s="615">
        <v>768000</v>
      </c>
      <c r="L428" s="194" t="s">
        <v>9</v>
      </c>
      <c r="M428" s="194" t="s">
        <v>48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>x</v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>
        <v>3</v>
      </c>
      <c r="AB428" s="606"/>
    </row>
    <row r="429" spans="1:30" s="849" customFormat="1" ht="15.75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>E429</f>
        <v>40996</v>
      </c>
      <c r="D429" s="191" t="s">
        <v>1621</v>
      </c>
      <c r="E429" s="191">
        <v>40996</v>
      </c>
      <c r="F429" s="189" t="s">
        <v>1121</v>
      </c>
      <c r="G429" s="490" t="s">
        <v>957</v>
      </c>
      <c r="H429" s="193" t="s">
        <v>958</v>
      </c>
      <c r="I429" s="252">
        <v>1000</v>
      </c>
      <c r="J429" s="252">
        <v>8000</v>
      </c>
      <c r="K429" s="615">
        <f>ROUND(I429*J429,0)</f>
        <v>8000000</v>
      </c>
      <c r="L429" s="194" t="s">
        <v>284</v>
      </c>
      <c r="M429" s="194" t="s">
        <v>185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211"/>
      <c r="AC429" s="211"/>
      <c r="AD429" s="211"/>
    </row>
    <row r="430" spans="1:30" s="849" customFormat="1" ht="15.75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>E430</f>
        <v>40996</v>
      </c>
      <c r="D430" s="191" t="s">
        <v>1621</v>
      </c>
      <c r="E430" s="191">
        <v>40996</v>
      </c>
      <c r="F430" s="192" t="s">
        <v>555</v>
      </c>
      <c r="G430" s="490" t="s">
        <v>957</v>
      </c>
      <c r="H430" s="193" t="s">
        <v>958</v>
      </c>
      <c r="I430" s="252"/>
      <c r="J430" s="252"/>
      <c r="K430" s="615">
        <v>800000</v>
      </c>
      <c r="L430" s="194" t="s">
        <v>284</v>
      </c>
      <c r="M430" s="194" t="s">
        <v>495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198"/>
      <c r="AB430" s="198"/>
      <c r="AC430" s="198"/>
      <c r="AD430" s="198"/>
    </row>
    <row r="431" spans="1:30" s="849" customFormat="1" ht="15.75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>E431</f>
        <v>40996</v>
      </c>
      <c r="D431" s="191" t="s">
        <v>1654</v>
      </c>
      <c r="E431" s="191">
        <v>40996</v>
      </c>
      <c r="F431" s="192" t="s">
        <v>365</v>
      </c>
      <c r="G431" s="490" t="s">
        <v>957</v>
      </c>
      <c r="H431" s="193" t="s">
        <v>958</v>
      </c>
      <c r="I431" s="252"/>
      <c r="J431" s="252"/>
      <c r="K431" s="615">
        <v>8800000</v>
      </c>
      <c r="L431" s="194" t="s">
        <v>48</v>
      </c>
      <c r="M431" s="194" t="s">
        <v>284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>x</v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198"/>
      <c r="AB431" s="198"/>
      <c r="AC431" s="198"/>
      <c r="AD431" s="198"/>
    </row>
    <row r="432" spans="1:30" s="849" customFormat="1" ht="15.75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v>40998</v>
      </c>
      <c r="D432" s="184" t="s">
        <v>456</v>
      </c>
      <c r="E432" s="191">
        <v>40998</v>
      </c>
      <c r="F432" s="192" t="s">
        <v>682</v>
      </c>
      <c r="G432" s="490" t="s">
        <v>683</v>
      </c>
      <c r="H432" s="193" t="s">
        <v>627</v>
      </c>
      <c r="I432" s="252"/>
      <c r="J432" s="252"/>
      <c r="K432" s="38">
        <v>3150000</v>
      </c>
      <c r="L432" s="194" t="s">
        <v>175</v>
      </c>
      <c r="M432" s="194" t="s">
        <v>48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>x</v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606"/>
      <c r="AB432" s="606"/>
    </row>
    <row r="433" spans="1:30" s="849" customFormat="1" ht="15.75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84">
        <v>40998</v>
      </c>
      <c r="D433" s="184" t="s">
        <v>456</v>
      </c>
      <c r="E433" s="184">
        <v>40998</v>
      </c>
      <c r="F433" s="189" t="s">
        <v>372</v>
      </c>
      <c r="G433" s="617" t="s">
        <v>683</v>
      </c>
      <c r="H433" s="193" t="s">
        <v>627</v>
      </c>
      <c r="I433" s="252"/>
      <c r="J433" s="252"/>
      <c r="K433" s="615">
        <v>315000</v>
      </c>
      <c r="L433" s="616" t="s">
        <v>9</v>
      </c>
      <c r="M433" s="616" t="s">
        <v>48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>x</v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198">
        <v>3</v>
      </c>
      <c r="AB433" s="606"/>
    </row>
    <row r="434" spans="1:30" s="849" customFormat="1" ht="15.75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84">
        <f t="shared" ref="C434:C471" si="33">E434</f>
        <v>40998</v>
      </c>
      <c r="D434" s="184" t="s">
        <v>367</v>
      </c>
      <c r="E434" s="184">
        <v>40998</v>
      </c>
      <c r="F434" s="189" t="s">
        <v>1748</v>
      </c>
      <c r="G434" s="617"/>
      <c r="H434" s="193" t="s">
        <v>1574</v>
      </c>
      <c r="I434" s="252"/>
      <c r="J434" s="252"/>
      <c r="K434" s="615">
        <v>1869642</v>
      </c>
      <c r="L434" s="616" t="s">
        <v>9</v>
      </c>
      <c r="M434" s="616" t="s">
        <v>17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606"/>
      <c r="AB434" s="198"/>
      <c r="AC434" s="198"/>
      <c r="AD434" s="198"/>
    </row>
    <row r="435" spans="1:30" s="849" customFormat="1" ht="15.75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1622</v>
      </c>
      <c r="E435" s="191">
        <v>40998</v>
      </c>
      <c r="F435" s="192" t="s">
        <v>1225</v>
      </c>
      <c r="G435" s="490" t="s">
        <v>959</v>
      </c>
      <c r="H435" s="210" t="s">
        <v>960</v>
      </c>
      <c r="I435" s="252">
        <v>64</v>
      </c>
      <c r="J435" s="254">
        <v>14850</v>
      </c>
      <c r="K435" s="615">
        <f>ROUND(I435*J435,0)</f>
        <v>950400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849" customFormat="1" ht="15.75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1622</v>
      </c>
      <c r="E436" s="191">
        <v>40998</v>
      </c>
      <c r="F436" s="192" t="s">
        <v>1226</v>
      </c>
      <c r="G436" s="490" t="s">
        <v>959</v>
      </c>
      <c r="H436" s="210" t="s">
        <v>960</v>
      </c>
      <c r="I436" s="254"/>
      <c r="J436" s="254"/>
      <c r="K436" s="615">
        <v>95040</v>
      </c>
      <c r="L436" s="194" t="s">
        <v>284</v>
      </c>
      <c r="M436" s="194" t="s">
        <v>495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198"/>
      <c r="AB436" s="198"/>
      <c r="AC436" s="198"/>
      <c r="AD436" s="198"/>
    </row>
    <row r="437" spans="1:30" s="849" customFormat="1" ht="15.75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1655</v>
      </c>
      <c r="E437" s="191">
        <v>40998</v>
      </c>
      <c r="F437" s="192" t="s">
        <v>365</v>
      </c>
      <c r="G437" s="490" t="s">
        <v>959</v>
      </c>
      <c r="H437" s="210" t="s">
        <v>960</v>
      </c>
      <c r="I437" s="254"/>
      <c r="J437" s="254"/>
      <c r="K437" s="615">
        <v>1045440</v>
      </c>
      <c r="L437" s="194" t="s">
        <v>48</v>
      </c>
      <c r="M437" s="194" t="s">
        <v>284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>x</v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198"/>
      <c r="AB437" s="198"/>
      <c r="AC437" s="198"/>
      <c r="AD437" s="198"/>
    </row>
    <row r="438" spans="1:30" s="849" customFormat="1" ht="15.75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1623</v>
      </c>
      <c r="E438" s="191">
        <v>40998</v>
      </c>
      <c r="F438" s="192" t="s">
        <v>1224</v>
      </c>
      <c r="G438" s="490" t="s">
        <v>961</v>
      </c>
      <c r="H438" s="193" t="s">
        <v>948</v>
      </c>
      <c r="I438" s="252">
        <v>253</v>
      </c>
      <c r="J438" s="252">
        <v>5170</v>
      </c>
      <c r="K438" s="615">
        <f>ROUND(I438*J438,0)</f>
        <v>1308010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849" customFormat="1" ht="15.75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1623</v>
      </c>
      <c r="E439" s="191">
        <v>40998</v>
      </c>
      <c r="F439" s="192" t="s">
        <v>1223</v>
      </c>
      <c r="G439" s="490" t="s">
        <v>961</v>
      </c>
      <c r="H439" s="193" t="s">
        <v>948</v>
      </c>
      <c r="I439" s="252">
        <v>204</v>
      </c>
      <c r="J439" s="252">
        <v>7268</v>
      </c>
      <c r="K439" s="615">
        <f>ROUND(I439*J439,0)</f>
        <v>1482672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849" customFormat="1" ht="15.75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1623</v>
      </c>
      <c r="E440" s="191">
        <v>40998</v>
      </c>
      <c r="F440" s="192" t="s">
        <v>1222</v>
      </c>
      <c r="G440" s="490" t="s">
        <v>961</v>
      </c>
      <c r="H440" s="193" t="s">
        <v>948</v>
      </c>
      <c r="I440" s="252">
        <v>2100</v>
      </c>
      <c r="J440" s="252">
        <v>655</v>
      </c>
      <c r="K440" s="615">
        <f>ROUND(I440*J440,0)</f>
        <v>1375500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849" customFormat="1" ht="15.75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1623</v>
      </c>
      <c r="E441" s="191">
        <v>40998</v>
      </c>
      <c r="F441" s="192" t="s">
        <v>555</v>
      </c>
      <c r="G441" s="490" t="s">
        <v>961</v>
      </c>
      <c r="H441" s="193" t="s">
        <v>948</v>
      </c>
      <c r="I441" s="250"/>
      <c r="J441" s="250"/>
      <c r="K441" s="615">
        <v>416618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849" customFormat="1" ht="15.75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1656</v>
      </c>
      <c r="E442" s="191">
        <v>40998</v>
      </c>
      <c r="F442" s="192" t="s">
        <v>365</v>
      </c>
      <c r="G442" s="490" t="s">
        <v>961</v>
      </c>
      <c r="H442" s="193" t="s">
        <v>948</v>
      </c>
      <c r="I442" s="250"/>
      <c r="J442" s="250"/>
      <c r="K442" s="615">
        <v>4582800</v>
      </c>
      <c r="L442" s="194" t="s">
        <v>48</v>
      </c>
      <c r="M442" s="194" t="s">
        <v>284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>x</v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198"/>
      <c r="AB442" s="198"/>
      <c r="AC442" s="198"/>
      <c r="AD442" s="198"/>
    </row>
    <row r="443" spans="1:30" s="849" customFormat="1" ht="15.75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1624</v>
      </c>
      <c r="E443" s="191">
        <v>40998</v>
      </c>
      <c r="F443" s="870" t="s">
        <v>1542</v>
      </c>
      <c r="G443" s="490" t="s">
        <v>962</v>
      </c>
      <c r="H443" s="7" t="s">
        <v>496</v>
      </c>
      <c r="I443" s="252">
        <v>350</v>
      </c>
      <c r="J443" s="252">
        <v>12078</v>
      </c>
      <c r="K443" s="615">
        <f t="shared" ref="K443:K448" si="34">ROUND(I443*J443,0)</f>
        <v>4227300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849" customFormat="1" ht="15.75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1624</v>
      </c>
      <c r="E444" s="191">
        <v>40998</v>
      </c>
      <c r="F444" s="192" t="s">
        <v>1543</v>
      </c>
      <c r="G444" s="490" t="s">
        <v>962</v>
      </c>
      <c r="H444" s="7" t="s">
        <v>496</v>
      </c>
      <c r="I444" s="252">
        <v>200</v>
      </c>
      <c r="J444" s="252">
        <v>15916</v>
      </c>
      <c r="K444" s="615">
        <f t="shared" si="34"/>
        <v>3183200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849" customFormat="1" ht="15.75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1624</v>
      </c>
      <c r="E445" s="191">
        <v>40998</v>
      </c>
      <c r="F445" s="192" t="s">
        <v>1544</v>
      </c>
      <c r="G445" s="490" t="s">
        <v>962</v>
      </c>
      <c r="H445" s="7" t="s">
        <v>496</v>
      </c>
      <c r="I445" s="252">
        <v>450</v>
      </c>
      <c r="J445" s="252">
        <v>16005</v>
      </c>
      <c r="K445" s="615">
        <f t="shared" si="34"/>
        <v>7202250</v>
      </c>
      <c r="L445" s="194" t="s">
        <v>284</v>
      </c>
      <c r="M445" s="194" t="s">
        <v>185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211"/>
      <c r="AC445" s="211"/>
      <c r="AD445" s="211"/>
    </row>
    <row r="446" spans="1:30" s="849" customFormat="1" ht="15.75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1624</v>
      </c>
      <c r="E446" s="191">
        <v>40998</v>
      </c>
      <c r="F446" s="192" t="s">
        <v>1536</v>
      </c>
      <c r="G446" s="490" t="s">
        <v>962</v>
      </c>
      <c r="H446" s="7" t="s">
        <v>496</v>
      </c>
      <c r="I446" s="252">
        <v>150</v>
      </c>
      <c r="J446" s="252">
        <v>9873</v>
      </c>
      <c r="K446" s="38">
        <f t="shared" si="34"/>
        <v>1480950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849" customFormat="1" ht="15.75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1624</v>
      </c>
      <c r="E447" s="191">
        <v>40998</v>
      </c>
      <c r="F447" s="192" t="s">
        <v>1539</v>
      </c>
      <c r="G447" s="490" t="s">
        <v>962</v>
      </c>
      <c r="H447" s="7" t="s">
        <v>496</v>
      </c>
      <c r="I447" s="252">
        <v>90</v>
      </c>
      <c r="J447" s="252">
        <v>8510</v>
      </c>
      <c r="K447" s="38">
        <f t="shared" si="34"/>
        <v>765900</v>
      </c>
      <c r="L447" s="194" t="s">
        <v>284</v>
      </c>
      <c r="M447" s="194" t="s">
        <v>185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211"/>
      <c r="AC447" s="211"/>
      <c r="AD447" s="211"/>
    </row>
    <row r="448" spans="1:30" s="849" customFormat="1" ht="15.75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1624</v>
      </c>
      <c r="E448" s="191">
        <v>40998</v>
      </c>
      <c r="F448" s="192" t="s">
        <v>1503</v>
      </c>
      <c r="G448" s="490" t="s">
        <v>962</v>
      </c>
      <c r="H448" s="7" t="s">
        <v>496</v>
      </c>
      <c r="I448" s="252">
        <v>210</v>
      </c>
      <c r="J448" s="252">
        <v>8623</v>
      </c>
      <c r="K448" s="38">
        <f t="shared" si="34"/>
        <v>1810830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849" customFormat="1" ht="15.75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1624</v>
      </c>
      <c r="E449" s="191">
        <v>40998</v>
      </c>
      <c r="F449" s="192" t="s">
        <v>1546</v>
      </c>
      <c r="G449" s="490" t="s">
        <v>962</v>
      </c>
      <c r="H449" s="7" t="s">
        <v>496</v>
      </c>
      <c r="I449" s="252">
        <v>27</v>
      </c>
      <c r="J449" s="897">
        <f>K449/I449</f>
        <v>20399</v>
      </c>
      <c r="K449" s="38">
        <v>550773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849" customFormat="1" ht="15.75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1624</v>
      </c>
      <c r="E450" s="191">
        <v>40998</v>
      </c>
      <c r="F450" s="192" t="s">
        <v>1515</v>
      </c>
      <c r="G450" s="490" t="s">
        <v>962</v>
      </c>
      <c r="H450" s="7" t="s">
        <v>496</v>
      </c>
      <c r="I450" s="252">
        <v>250</v>
      </c>
      <c r="J450" s="252">
        <v>11990</v>
      </c>
      <c r="K450" s="38">
        <f>ROUND(I450*J450,0)</f>
        <v>2997500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849" customFormat="1" ht="15.75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1624</v>
      </c>
      <c r="E451" s="191">
        <v>40998</v>
      </c>
      <c r="F451" s="192" t="s">
        <v>1540</v>
      </c>
      <c r="G451" s="490" t="s">
        <v>962</v>
      </c>
      <c r="H451" s="7" t="s">
        <v>496</v>
      </c>
      <c r="I451" s="252">
        <v>100</v>
      </c>
      <c r="J451" s="252">
        <v>12439</v>
      </c>
      <c r="K451" s="38">
        <f>ROUND(I451*J451,0)</f>
        <v>1243900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849" customFormat="1" ht="15.75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1624</v>
      </c>
      <c r="E452" s="191">
        <v>40998</v>
      </c>
      <c r="F452" s="192" t="s">
        <v>1515</v>
      </c>
      <c r="G452" s="490" t="s">
        <v>962</v>
      </c>
      <c r="H452" s="7" t="s">
        <v>496</v>
      </c>
      <c r="I452" s="252">
        <v>200</v>
      </c>
      <c r="J452" s="252">
        <v>11990</v>
      </c>
      <c r="K452" s="38">
        <f>ROUND(I452*J452,0)</f>
        <v>2398000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849" customFormat="1" ht="15.75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1624</v>
      </c>
      <c r="E453" s="191">
        <v>40998</v>
      </c>
      <c r="F453" s="870" t="s">
        <v>1545</v>
      </c>
      <c r="G453" s="490" t="s">
        <v>962</v>
      </c>
      <c r="H453" s="7" t="s">
        <v>496</v>
      </c>
      <c r="I453" s="252">
        <v>168</v>
      </c>
      <c r="J453" s="254">
        <v>11928</v>
      </c>
      <c r="K453" s="38">
        <f>ROUND(I453*J453,0)</f>
        <v>2003904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s="849" customFormat="1" ht="15.75" customHeight="1">
      <c r="A454" s="204" t="str">
        <f>IF(B454&lt;&gt;"",IF(AND(B454&gt;=_TM1,B454&lt;=_TM2,OR(TH!L454="1111",TH!M454="1111")),TH!D454,""),"")</f>
        <v/>
      </c>
      <c r="B454" s="36">
        <f t="shared" si="32"/>
        <v>3</v>
      </c>
      <c r="C454" s="191">
        <f t="shared" si="33"/>
        <v>40998</v>
      </c>
      <c r="D454" s="191" t="s">
        <v>1624</v>
      </c>
      <c r="E454" s="191">
        <v>40998</v>
      </c>
      <c r="F454" s="192" t="s">
        <v>555</v>
      </c>
      <c r="G454" s="872" t="s">
        <v>962</v>
      </c>
      <c r="H454" s="7" t="s">
        <v>496</v>
      </c>
      <c r="I454" s="252"/>
      <c r="J454" s="252"/>
      <c r="K454" s="615">
        <v>2786451</v>
      </c>
      <c r="L454" s="194" t="s">
        <v>284</v>
      </c>
      <c r="M454" s="194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198"/>
      <c r="AB454" s="198"/>
      <c r="AC454" s="198"/>
      <c r="AD454" s="198"/>
    </row>
    <row r="455" spans="1:30" s="849" customFormat="1" ht="15.75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191">
        <f t="shared" si="33"/>
        <v>40998</v>
      </c>
      <c r="D455" s="191" t="s">
        <v>1625</v>
      </c>
      <c r="E455" s="191">
        <v>40998</v>
      </c>
      <c r="F455" s="192" t="s">
        <v>1542</v>
      </c>
      <c r="G455" s="691" t="s">
        <v>963</v>
      </c>
      <c r="H455" s="7" t="s">
        <v>496</v>
      </c>
      <c r="I455" s="252">
        <v>505</v>
      </c>
      <c r="J455" s="252">
        <v>12078</v>
      </c>
      <c r="K455" s="615">
        <f>ROUND(I455*J455,0)</f>
        <v>6099390</v>
      </c>
      <c r="L455" s="194" t="s">
        <v>284</v>
      </c>
      <c r="M455" s="194" t="s">
        <v>185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211"/>
      <c r="AC455" s="211"/>
      <c r="AD455" s="211"/>
    </row>
    <row r="456" spans="1:30" s="849" customFormat="1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191">
        <f t="shared" si="33"/>
        <v>40998</v>
      </c>
      <c r="D456" s="191" t="s">
        <v>1625</v>
      </c>
      <c r="E456" s="191">
        <v>40998</v>
      </c>
      <c r="F456" s="192" t="s">
        <v>1543</v>
      </c>
      <c r="G456" s="691" t="s">
        <v>963</v>
      </c>
      <c r="H456" s="7" t="s">
        <v>496</v>
      </c>
      <c r="I456" s="252">
        <f>75+95+96</f>
        <v>266</v>
      </c>
      <c r="J456" s="252">
        <v>15916</v>
      </c>
      <c r="K456" s="615">
        <f>ROUND(I456*J456,0)</f>
        <v>4233656</v>
      </c>
      <c r="L456" s="194" t="s">
        <v>284</v>
      </c>
      <c r="M456" s="194" t="s">
        <v>185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211"/>
      <c r="AC456" s="211"/>
      <c r="AD456" s="211"/>
    </row>
    <row r="457" spans="1:30" s="849" customFormat="1" ht="15.75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191">
        <f t="shared" si="33"/>
        <v>40998</v>
      </c>
      <c r="D457" s="191" t="s">
        <v>1625</v>
      </c>
      <c r="E457" s="191">
        <v>40998</v>
      </c>
      <c r="F457" s="192" t="s">
        <v>1544</v>
      </c>
      <c r="G457" s="691" t="s">
        <v>963</v>
      </c>
      <c r="H457" s="7" t="s">
        <v>496</v>
      </c>
      <c r="I457" s="252">
        <f>215+645</f>
        <v>860</v>
      </c>
      <c r="J457" s="252">
        <v>16005</v>
      </c>
      <c r="K457" s="615">
        <f>ROUND(I457*J457,0)</f>
        <v>13764300</v>
      </c>
      <c r="L457" s="194" t="s">
        <v>284</v>
      </c>
      <c r="M457" s="194" t="s">
        <v>185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211"/>
      <c r="AC457" s="211"/>
      <c r="AD457" s="211"/>
    </row>
    <row r="458" spans="1:30" s="849" customFormat="1" ht="15.75" customHeight="1">
      <c r="A458" s="204" t="str">
        <f>IF(B458&lt;&gt;"",IF(AND(B458&gt;=_TM1,B458&lt;=_TM2,OR(TH!L458="1111",TH!M458="1111")),TH!D458,""),"")</f>
        <v/>
      </c>
      <c r="B458" s="36">
        <f t="shared" si="32"/>
        <v>3</v>
      </c>
      <c r="C458" s="191">
        <f t="shared" si="33"/>
        <v>40998</v>
      </c>
      <c r="D458" s="191" t="s">
        <v>1625</v>
      </c>
      <c r="E458" s="191">
        <v>40998</v>
      </c>
      <c r="F458" s="192" t="s">
        <v>555</v>
      </c>
      <c r="G458" s="880" t="s">
        <v>963</v>
      </c>
      <c r="H458" s="7" t="s">
        <v>496</v>
      </c>
      <c r="I458" s="253"/>
      <c r="J458" s="253"/>
      <c r="K458" s="615">
        <v>2409735</v>
      </c>
      <c r="L458" s="194" t="s">
        <v>284</v>
      </c>
      <c r="M458" s="194" t="s">
        <v>495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198"/>
      <c r="AB458" s="198"/>
      <c r="AC458" s="198"/>
      <c r="AD458" s="198"/>
    </row>
    <row r="459" spans="1:30" s="849" customFormat="1" ht="15.75" customHeight="1">
      <c r="A459" s="204" t="str">
        <f>IF(B459&lt;&gt;"",IF(AND(B459&gt;=_TM1,B459&lt;=_TM2,OR(TH!L459="1111",TH!M459="1111")),TH!D459,""),"")</f>
        <v/>
      </c>
      <c r="B459" s="36">
        <f t="shared" si="32"/>
        <v>3</v>
      </c>
      <c r="C459" s="191">
        <f t="shared" si="33"/>
        <v>40998</v>
      </c>
      <c r="D459" s="191" t="s">
        <v>1626</v>
      </c>
      <c r="E459" s="191">
        <v>40998</v>
      </c>
      <c r="F459" s="189" t="s">
        <v>1221</v>
      </c>
      <c r="G459" s="488" t="s">
        <v>964</v>
      </c>
      <c r="H459" s="193" t="s">
        <v>688</v>
      </c>
      <c r="I459" s="252">
        <v>425</v>
      </c>
      <c r="J459" s="252">
        <v>9300</v>
      </c>
      <c r="K459" s="615">
        <f>ROUND(I459*J459,0)</f>
        <v>3952500</v>
      </c>
      <c r="L459" s="194" t="s">
        <v>284</v>
      </c>
      <c r="M459" s="194" t="s">
        <v>185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211"/>
      <c r="AC459" s="211"/>
      <c r="AD459" s="211"/>
    </row>
    <row r="460" spans="1:30" s="849" customFormat="1" ht="15.75" customHeight="1">
      <c r="A460" s="204" t="str">
        <f>IF(B460&lt;&gt;"",IF(AND(B460&gt;=_TM1,B460&lt;=_TM2,OR(TH!L460="1111",TH!M460="1111")),TH!D460,""),"")</f>
        <v/>
      </c>
      <c r="B460" s="36">
        <f t="shared" si="32"/>
        <v>3</v>
      </c>
      <c r="C460" s="191">
        <f t="shared" si="33"/>
        <v>40998</v>
      </c>
      <c r="D460" s="191" t="s">
        <v>1626</v>
      </c>
      <c r="E460" s="191">
        <v>40998</v>
      </c>
      <c r="F460" s="192" t="s">
        <v>555</v>
      </c>
      <c r="G460" s="881" t="s">
        <v>964</v>
      </c>
      <c r="H460" s="193" t="s">
        <v>688</v>
      </c>
      <c r="I460" s="253"/>
      <c r="J460" s="253"/>
      <c r="K460" s="615">
        <v>395250</v>
      </c>
      <c r="L460" s="194" t="s">
        <v>284</v>
      </c>
      <c r="M460" s="194" t="s">
        <v>495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198"/>
      <c r="AB460" s="198"/>
      <c r="AC460" s="198"/>
      <c r="AD460" s="198"/>
    </row>
    <row r="461" spans="1:30" s="849" customFormat="1" ht="15.75" customHeight="1">
      <c r="A461" s="204" t="str">
        <f>IF(B461&lt;&gt;"",IF(AND(B461&gt;=_TM1,B461&lt;=_TM2,OR(TH!L461="1111",TH!M461="1111")),TH!D461,""),"")</f>
        <v/>
      </c>
      <c r="B461" s="36">
        <f t="shared" si="32"/>
        <v>3</v>
      </c>
      <c r="C461" s="191">
        <f t="shared" si="33"/>
        <v>40998</v>
      </c>
      <c r="D461" s="191" t="s">
        <v>1627</v>
      </c>
      <c r="E461" s="886">
        <v>40998</v>
      </c>
      <c r="F461" s="192" t="s">
        <v>1481</v>
      </c>
      <c r="G461" s="898" t="s">
        <v>1561</v>
      </c>
      <c r="H461" s="193" t="s">
        <v>497</v>
      </c>
      <c r="I461" s="252">
        <v>10</v>
      </c>
      <c r="J461" s="252">
        <v>36497</v>
      </c>
      <c r="K461" s="615">
        <f t="shared" ref="K461:K466" si="35">ROUND(I461*J461,0)</f>
        <v>364970</v>
      </c>
      <c r="L461" s="194" t="s">
        <v>284</v>
      </c>
      <c r="M461" s="194" t="s">
        <v>185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  <c r="AD461" s="211"/>
    </row>
    <row r="462" spans="1:30" s="849" customFormat="1" ht="15.75" customHeight="1">
      <c r="A462" s="204" t="str">
        <f>IF(B462&lt;&gt;"",IF(AND(B462&gt;=_TM1,B462&lt;=_TM2,OR(TH!L462="1111",TH!M462="1111")),TH!D462,""),"")</f>
        <v/>
      </c>
      <c r="B462" s="36">
        <f t="shared" si="32"/>
        <v>3</v>
      </c>
      <c r="C462" s="191">
        <f t="shared" si="33"/>
        <v>40998</v>
      </c>
      <c r="D462" s="191" t="s">
        <v>1627</v>
      </c>
      <c r="E462" s="886">
        <v>40998</v>
      </c>
      <c r="F462" s="192" t="s">
        <v>1483</v>
      </c>
      <c r="G462" s="898" t="s">
        <v>1561</v>
      </c>
      <c r="H462" s="193" t="s">
        <v>497</v>
      </c>
      <c r="I462" s="252">
        <v>50</v>
      </c>
      <c r="J462" s="252">
        <v>18800</v>
      </c>
      <c r="K462" s="615">
        <f t="shared" si="35"/>
        <v>940000</v>
      </c>
      <c r="L462" s="194" t="s">
        <v>284</v>
      </c>
      <c r="M462" s="194" t="s">
        <v>185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  <c r="AB462" s="211"/>
      <c r="AC462" s="211"/>
      <c r="AD462" s="211"/>
    </row>
    <row r="463" spans="1:30" s="849" customFormat="1" ht="15.75" customHeight="1">
      <c r="A463" s="204" t="str">
        <f>IF(B463&lt;&gt;"",IF(AND(B463&gt;=_TM1,B463&lt;=_TM2,OR(TH!L463="1111",TH!M463="1111")),TH!D463,""),"")</f>
        <v/>
      </c>
      <c r="B463" s="36">
        <f t="shared" si="32"/>
        <v>3</v>
      </c>
      <c r="C463" s="191">
        <f t="shared" si="33"/>
        <v>40998</v>
      </c>
      <c r="D463" s="191" t="s">
        <v>1627</v>
      </c>
      <c r="E463" s="886">
        <v>40998</v>
      </c>
      <c r="F463" s="192" t="s">
        <v>1484</v>
      </c>
      <c r="G463" s="898" t="s">
        <v>1561</v>
      </c>
      <c r="H463" s="193" t="s">
        <v>497</v>
      </c>
      <c r="I463" s="252">
        <v>75</v>
      </c>
      <c r="J463" s="252">
        <v>36700</v>
      </c>
      <c r="K463" s="615">
        <f t="shared" si="35"/>
        <v>2752500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  <c r="AB463" s="211"/>
      <c r="AC463" s="211"/>
      <c r="AD463" s="211"/>
    </row>
    <row r="464" spans="1:30" s="849" customFormat="1" ht="15.75" customHeight="1">
      <c r="A464" s="204" t="str">
        <f>IF(B464&lt;&gt;"",IF(AND(B464&gt;=_TM1,B464&lt;=_TM2,OR(TH!L464="1111",TH!M464="1111")),TH!D464,""),"")</f>
        <v/>
      </c>
      <c r="B464" s="36">
        <f t="shared" si="32"/>
        <v>3</v>
      </c>
      <c r="C464" s="191">
        <f t="shared" si="33"/>
        <v>40998</v>
      </c>
      <c r="D464" s="191" t="s">
        <v>1627</v>
      </c>
      <c r="E464" s="886">
        <v>40998</v>
      </c>
      <c r="F464" s="192" t="s">
        <v>1235</v>
      </c>
      <c r="G464" s="898" t="s">
        <v>1561</v>
      </c>
      <c r="H464" s="193" t="s">
        <v>497</v>
      </c>
      <c r="I464" s="252">
        <v>150</v>
      </c>
      <c r="J464" s="252">
        <v>29400</v>
      </c>
      <c r="K464" s="615">
        <f t="shared" si="35"/>
        <v>4410000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211"/>
      <c r="AC464" s="211"/>
      <c r="AD464" s="211"/>
    </row>
    <row r="465" spans="1:30" s="849" customFormat="1" ht="15.75" customHeight="1">
      <c r="A465" s="204" t="str">
        <f>IF(B465&lt;&gt;"",IF(AND(B465&gt;=_TM1,B465&lt;=_TM2,OR(TH!L465="1111",TH!M465="1111")),TH!D465,""),"")</f>
        <v/>
      </c>
      <c r="B465" s="36">
        <f t="shared" si="32"/>
        <v>3</v>
      </c>
      <c r="C465" s="191">
        <f t="shared" si="33"/>
        <v>40998</v>
      </c>
      <c r="D465" s="191" t="s">
        <v>1627</v>
      </c>
      <c r="E465" s="886">
        <v>40998</v>
      </c>
      <c r="F465" s="192" t="s">
        <v>1236</v>
      </c>
      <c r="G465" s="898" t="s">
        <v>1561</v>
      </c>
      <c r="H465" s="193" t="s">
        <v>497</v>
      </c>
      <c r="I465" s="252">
        <v>410</v>
      </c>
      <c r="J465" s="252">
        <v>2303</v>
      </c>
      <c r="K465" s="615">
        <f t="shared" si="35"/>
        <v>944230</v>
      </c>
      <c r="L465" s="194" t="s">
        <v>284</v>
      </c>
      <c r="M465" s="194" t="s">
        <v>185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211"/>
      <c r="AC465" s="211"/>
      <c r="AD465" s="211"/>
    </row>
    <row r="466" spans="1:30" s="851" customFormat="1" ht="15.75" customHeight="1">
      <c r="A466" s="204" t="str">
        <f>IF(B466&lt;&gt;"",IF(AND(B466&gt;=_TM1,B466&lt;=_TM2,OR(TH!L466="1111",TH!M466="1111")),TH!D466,""),"")</f>
        <v/>
      </c>
      <c r="B466" s="36">
        <f t="shared" si="32"/>
        <v>3</v>
      </c>
      <c r="C466" s="191">
        <f t="shared" si="33"/>
        <v>40998</v>
      </c>
      <c r="D466" s="191" t="s">
        <v>1627</v>
      </c>
      <c r="E466" s="886">
        <v>40998</v>
      </c>
      <c r="F466" s="192" t="s">
        <v>1485</v>
      </c>
      <c r="G466" s="898" t="s">
        <v>1561</v>
      </c>
      <c r="H466" s="193" t="s">
        <v>497</v>
      </c>
      <c r="I466" s="252">
        <v>220</v>
      </c>
      <c r="J466" s="252">
        <v>2900</v>
      </c>
      <c r="K466" s="615">
        <f t="shared" si="35"/>
        <v>638000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  <c r="AB466" s="211"/>
      <c r="AC466" s="211"/>
      <c r="AD466" s="211"/>
    </row>
    <row r="467" spans="1:30" ht="15.75" customHeight="1">
      <c r="A467" s="204" t="str">
        <f>IF(B467&lt;&gt;"",IF(AND(B467&gt;=_TM1,B467&lt;=_TM2,OR(TH!L467="1111",TH!M467="1111")),TH!D467,""),"")</f>
        <v/>
      </c>
      <c r="B467" s="885">
        <f t="shared" si="32"/>
        <v>3</v>
      </c>
      <c r="C467" s="886">
        <f t="shared" si="33"/>
        <v>40998</v>
      </c>
      <c r="D467" s="191" t="s">
        <v>1627</v>
      </c>
      <c r="E467" s="886">
        <v>40998</v>
      </c>
      <c r="F467" s="887" t="s">
        <v>555</v>
      </c>
      <c r="G467" s="898" t="s">
        <v>1561</v>
      </c>
      <c r="H467" s="889" t="s">
        <v>497</v>
      </c>
      <c r="I467" s="890"/>
      <c r="J467" s="890"/>
      <c r="K467" s="896">
        <v>1004970</v>
      </c>
      <c r="L467" s="892" t="s">
        <v>284</v>
      </c>
      <c r="M467" s="892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906"/>
      <c r="AC467" s="906">
        <f>SUM(K461:K466)-AB467</f>
        <v>10049700</v>
      </c>
      <c r="AD467" s="894"/>
    </row>
    <row r="468" spans="1:30" ht="15.75" customHeight="1">
      <c r="A468" s="204" t="str">
        <f>IF(B468&lt;&gt;"",IF(AND(B468&gt;=_TM1,B468&lt;=_TM2,OR(TH!L468="1111",TH!M468="1111")),TH!D468,""),"")</f>
        <v/>
      </c>
      <c r="B468" s="36">
        <f t="shared" si="32"/>
        <v>3</v>
      </c>
      <c r="C468" s="740">
        <f t="shared" si="33"/>
        <v>40999</v>
      </c>
      <c r="D468" s="740" t="s">
        <v>367</v>
      </c>
      <c r="E468" s="853">
        <v>40999</v>
      </c>
      <c r="F468" s="741" t="s">
        <v>1584</v>
      </c>
      <c r="G468" s="742"/>
      <c r="H468" s="629"/>
      <c r="I468" s="487"/>
      <c r="J468" s="487"/>
      <c r="K468" s="743">
        <v>9325000</v>
      </c>
      <c r="L468" s="744" t="s">
        <v>84</v>
      </c>
      <c r="M468" s="744" t="s">
        <v>287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606"/>
      <c r="AC468" s="606"/>
      <c r="AD468" s="606"/>
    </row>
    <row r="469" spans="1:30" ht="15.75" customHeight="1">
      <c r="A469" s="204" t="str">
        <f>IF(B469&lt;&gt;"",IF(AND(B469&gt;=_TM1,B469&lt;=_TM2,OR(TH!L469="1111",TH!M469="1111")),TH!D469,""),"")</f>
        <v/>
      </c>
      <c r="B469" s="36">
        <f t="shared" si="32"/>
        <v>3</v>
      </c>
      <c r="C469" s="740">
        <f t="shared" si="33"/>
        <v>40999</v>
      </c>
      <c r="D469" s="740" t="s">
        <v>367</v>
      </c>
      <c r="E469" s="853">
        <v>40999</v>
      </c>
      <c r="F469" s="741" t="s">
        <v>511</v>
      </c>
      <c r="G469" s="742"/>
      <c r="H469" s="629"/>
      <c r="I469" s="487"/>
      <c r="J469" s="487"/>
      <c r="K469" s="743">
        <v>13450000</v>
      </c>
      <c r="L469" s="744" t="s">
        <v>175</v>
      </c>
      <c r="M469" s="744" t="s">
        <v>287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  <c r="AB469" s="606"/>
      <c r="AC469" s="606"/>
      <c r="AD469" s="606"/>
    </row>
    <row r="470" spans="1:30" ht="15.75" customHeight="1">
      <c r="A470" s="204" t="str">
        <f>IF(B470&lt;&gt;"",IF(AND(B470&gt;=_TM1,B470&lt;=_TM2,OR(TH!L470="1111",TH!M470="1111")),TH!D470,""),"")</f>
        <v/>
      </c>
      <c r="B470" s="36">
        <f t="shared" si="32"/>
        <v>3</v>
      </c>
      <c r="C470" s="740">
        <f t="shared" si="33"/>
        <v>40999</v>
      </c>
      <c r="D470" s="740" t="s">
        <v>457</v>
      </c>
      <c r="E470" s="853">
        <v>40999</v>
      </c>
      <c r="F470" s="741" t="str">
        <f>"Thanh toán tiền lương tháng "&amp;MONTH(E470)&amp;"/"&amp;YEAR(E470)</f>
        <v>Thanh toán tiền lương tháng 3/2012</v>
      </c>
      <c r="G470" s="742"/>
      <c r="H470" s="45" t="s">
        <v>684</v>
      </c>
      <c r="I470" s="487"/>
      <c r="J470" s="487"/>
      <c r="K470" s="743">
        <f>K468+K469</f>
        <v>22775000</v>
      </c>
      <c r="L470" s="744" t="s">
        <v>287</v>
      </c>
      <c r="M470" s="744" t="s">
        <v>48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>x</v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211"/>
      <c r="AB470" s="606"/>
      <c r="AC470" s="606"/>
      <c r="AD470" s="606"/>
    </row>
    <row r="471" spans="1:30" ht="15.75" customHeight="1">
      <c r="A471" s="204" t="str">
        <f>IF(B471&lt;&gt;"",IF(AND(B471&gt;=_TM1,B471&lt;=_TM2,OR(TH!L471="1111",TH!M471="1111")),TH!D471,""),"")</f>
        <v/>
      </c>
      <c r="B471" s="36">
        <f t="shared" ref="B471:B533" si="36">IF(C471&lt;&gt;"",MONTH(C471),"")</f>
        <v>4</v>
      </c>
      <c r="C471" s="740">
        <f t="shared" si="33"/>
        <v>41000</v>
      </c>
      <c r="D471" s="740" t="s">
        <v>367</v>
      </c>
      <c r="E471" s="853">
        <v>41000</v>
      </c>
      <c r="F471" s="741" t="s">
        <v>509</v>
      </c>
      <c r="G471" s="742"/>
      <c r="H471" s="629"/>
      <c r="I471" s="487"/>
      <c r="J471" s="487"/>
      <c r="K471" s="743">
        <v>18250000</v>
      </c>
      <c r="L471" s="744" t="s">
        <v>175</v>
      </c>
      <c r="M471" s="744" t="s">
        <v>285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154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606"/>
      <c r="AB471" s="606"/>
    </row>
    <row r="472" spans="1:30" ht="15.75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91">
        <v>41000</v>
      </c>
      <c r="D472" s="184" t="s">
        <v>410</v>
      </c>
      <c r="E472" s="191">
        <v>40987</v>
      </c>
      <c r="F472" s="189" t="s">
        <v>589</v>
      </c>
      <c r="G472" s="488" t="s">
        <v>1470</v>
      </c>
      <c r="H472" s="7" t="s">
        <v>591</v>
      </c>
      <c r="I472" s="252"/>
      <c r="J472" s="255"/>
      <c r="K472" s="615">
        <f>284300+228041+229715+162894</f>
        <v>904950</v>
      </c>
      <c r="L472" s="194" t="s">
        <v>84</v>
      </c>
      <c r="M472" s="616" t="s">
        <v>48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>x</v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211"/>
      <c r="AB472" s="211"/>
      <c r="AC472" s="211"/>
      <c r="AD472" s="211"/>
    </row>
    <row r="473" spans="1:30" ht="15.75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91">
        <v>41000</v>
      </c>
      <c r="D473" s="184" t="s">
        <v>410</v>
      </c>
      <c r="E473" s="191">
        <v>40987</v>
      </c>
      <c r="F473" s="189" t="s">
        <v>592</v>
      </c>
      <c r="G473" s="488" t="s">
        <v>1470</v>
      </c>
      <c r="H473" s="7" t="s">
        <v>591</v>
      </c>
      <c r="I473" s="255"/>
      <c r="J473" s="255"/>
      <c r="K473" s="38">
        <f>28430+22804+22971+16289</f>
        <v>90494</v>
      </c>
      <c r="L473" s="194" t="s">
        <v>9</v>
      </c>
      <c r="M473" s="616" t="s">
        <v>48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>x</v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>
        <v>4</v>
      </c>
      <c r="AB473" s="211"/>
      <c r="AC473" s="606"/>
      <c r="AD473" s="606"/>
    </row>
    <row r="474" spans="1:30" ht="15.75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91">
        <v>41002</v>
      </c>
      <c r="D474" s="191" t="s">
        <v>363</v>
      </c>
      <c r="E474" s="191">
        <v>41002</v>
      </c>
      <c r="F474" s="192" t="s">
        <v>365</v>
      </c>
      <c r="G474" s="490" t="s">
        <v>361</v>
      </c>
      <c r="H474" s="7" t="s">
        <v>500</v>
      </c>
      <c r="I474" s="252"/>
      <c r="J474" s="252"/>
      <c r="K474" s="38">
        <v>37537610</v>
      </c>
      <c r="L474" s="194" t="s">
        <v>24</v>
      </c>
      <c r="M474" s="194" t="s">
        <v>284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>x</v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6"/>
      <c r="AB474" s="211"/>
      <c r="AC474" s="849"/>
      <c r="AD474" s="849"/>
    </row>
    <row r="475" spans="1:30" ht="15.75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91">
        <v>41002</v>
      </c>
      <c r="D475" s="191" t="s">
        <v>408</v>
      </c>
      <c r="E475" s="191">
        <v>41002</v>
      </c>
      <c r="F475" s="192" t="s">
        <v>559</v>
      </c>
      <c r="G475" s="490" t="s">
        <v>361</v>
      </c>
      <c r="H475" s="193" t="s">
        <v>684</v>
      </c>
      <c r="I475" s="252"/>
      <c r="J475" s="252"/>
      <c r="K475" s="38">
        <v>21500000</v>
      </c>
      <c r="L475" s="194" t="s">
        <v>48</v>
      </c>
      <c r="M475" s="194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>x</v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211"/>
      <c r="AB475" s="211"/>
      <c r="AC475" s="849"/>
      <c r="AD475" s="849"/>
    </row>
    <row r="476" spans="1:30" ht="15.75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7">E476</f>
        <v>41003</v>
      </c>
      <c r="D476" s="191" t="s">
        <v>1585</v>
      </c>
      <c r="E476" s="184">
        <v>41003</v>
      </c>
      <c r="F476" s="189" t="s">
        <v>1145</v>
      </c>
      <c r="G476" s="488" t="s">
        <v>965</v>
      </c>
      <c r="H476" s="193" t="s">
        <v>910</v>
      </c>
      <c r="I476" s="252">
        <v>500</v>
      </c>
      <c r="J476" s="252">
        <v>11020</v>
      </c>
      <c r="K476" s="615">
        <f>ROUND(I476*J476,0)</f>
        <v>5510000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7"/>
        <v>41003</v>
      </c>
      <c r="D477" s="191" t="s">
        <v>1585</v>
      </c>
      <c r="E477" s="184">
        <v>41003</v>
      </c>
      <c r="F477" s="189" t="s">
        <v>1220</v>
      </c>
      <c r="G477" s="488" t="s">
        <v>965</v>
      </c>
      <c r="H477" s="193" t="s">
        <v>910</v>
      </c>
      <c r="I477" s="252">
        <v>200</v>
      </c>
      <c r="J477" s="252">
        <v>7235</v>
      </c>
      <c r="K477" s="615">
        <f>ROUND(I477*J477,0)</f>
        <v>1447000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7"/>
        <v>41003</v>
      </c>
      <c r="D478" s="191" t="s">
        <v>1585</v>
      </c>
      <c r="E478" s="882">
        <v>41003</v>
      </c>
      <c r="F478" s="192" t="s">
        <v>555</v>
      </c>
      <c r="G478" s="881" t="s">
        <v>965</v>
      </c>
      <c r="H478" s="193" t="s">
        <v>910</v>
      </c>
      <c r="I478" s="253"/>
      <c r="J478" s="253"/>
      <c r="K478" s="615">
        <v>695700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7"/>
        <v>41003</v>
      </c>
      <c r="D479" s="191" t="s">
        <v>409</v>
      </c>
      <c r="E479" s="882">
        <v>41003</v>
      </c>
      <c r="F479" s="192" t="s">
        <v>365</v>
      </c>
      <c r="G479" s="881" t="s">
        <v>965</v>
      </c>
      <c r="H479" s="193" t="s">
        <v>910</v>
      </c>
      <c r="I479" s="253"/>
      <c r="J479" s="253"/>
      <c r="K479" s="615">
        <v>7652700</v>
      </c>
      <c r="L479" s="194" t="s">
        <v>48</v>
      </c>
      <c r="M479" s="194" t="s">
        <v>284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>x</v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</row>
    <row r="480" spans="1:30" ht="15.75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7"/>
        <v>41003</v>
      </c>
      <c r="D480" s="191" t="s">
        <v>1586</v>
      </c>
      <c r="E480" s="184">
        <v>41003</v>
      </c>
      <c r="F480" s="189" t="s">
        <v>1219</v>
      </c>
      <c r="G480" s="488" t="s">
        <v>966</v>
      </c>
      <c r="H480" s="7" t="s">
        <v>499</v>
      </c>
      <c r="I480" s="252">
        <v>507</v>
      </c>
      <c r="J480" s="252">
        <v>7432</v>
      </c>
      <c r="K480" s="615">
        <v>3768024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7"/>
        <v>41003</v>
      </c>
      <c r="D481" s="191" t="s">
        <v>1586</v>
      </c>
      <c r="E481" s="882">
        <v>41003</v>
      </c>
      <c r="F481" s="192" t="s">
        <v>555</v>
      </c>
      <c r="G481" s="881" t="s">
        <v>966</v>
      </c>
      <c r="H481" s="7" t="s">
        <v>499</v>
      </c>
      <c r="I481" s="252"/>
      <c r="J481" s="252"/>
      <c r="K481" s="615">
        <v>376802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41004</v>
      </c>
      <c r="D482" s="184" t="s">
        <v>363</v>
      </c>
      <c r="E482" s="191">
        <v>41004</v>
      </c>
      <c r="F482" s="192" t="s">
        <v>365</v>
      </c>
      <c r="G482" s="490" t="s">
        <v>361</v>
      </c>
      <c r="H482" s="7" t="s">
        <v>496</v>
      </c>
      <c r="I482" s="252"/>
      <c r="J482" s="252"/>
      <c r="K482" s="615">
        <v>57158000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6"/>
      <c r="AB482" s="211"/>
      <c r="AC482" s="849"/>
      <c r="AD482" s="849"/>
    </row>
    <row r="483" spans="1:30" ht="15.75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v>41004</v>
      </c>
      <c r="D483" s="184" t="s">
        <v>440</v>
      </c>
      <c r="E483" s="191">
        <v>41004</v>
      </c>
      <c r="F483" s="192" t="s">
        <v>559</v>
      </c>
      <c r="G483" s="490" t="s">
        <v>361</v>
      </c>
      <c r="H483" s="7" t="s">
        <v>684</v>
      </c>
      <c r="I483" s="252"/>
      <c r="J483" s="252"/>
      <c r="K483" s="38">
        <v>37500000</v>
      </c>
      <c r="L483" s="194" t="s">
        <v>48</v>
      </c>
      <c r="M483" s="194" t="s">
        <v>24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>x</v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>x</v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849"/>
      <c r="AD483" s="849"/>
    </row>
    <row r="484" spans="1:30" ht="15.75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41004</v>
      </c>
      <c r="D484" s="191" t="s">
        <v>1587</v>
      </c>
      <c r="E484" s="184">
        <v>41004</v>
      </c>
      <c r="F484" s="189" t="s">
        <v>1157</v>
      </c>
      <c r="G484" s="488" t="s">
        <v>967</v>
      </c>
      <c r="H484" s="7" t="s">
        <v>500</v>
      </c>
      <c r="I484" s="252">
        <v>1488</v>
      </c>
      <c r="J484" s="252">
        <v>10900</v>
      </c>
      <c r="K484" s="615">
        <f>ROUND(I484*J484,0)</f>
        <v>16219200</v>
      </c>
      <c r="L484" s="194" t="s">
        <v>284</v>
      </c>
      <c r="M484" s="194" t="s">
        <v>185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211"/>
      <c r="AB484" s="211"/>
      <c r="AC484" s="211"/>
      <c r="AD484" s="211"/>
    </row>
    <row r="485" spans="1:30" ht="15.75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41004</v>
      </c>
      <c r="D485" s="191" t="s">
        <v>1587</v>
      </c>
      <c r="E485" s="882">
        <v>41004</v>
      </c>
      <c r="F485" s="192" t="s">
        <v>555</v>
      </c>
      <c r="G485" s="881" t="s">
        <v>967</v>
      </c>
      <c r="H485" s="7" t="s">
        <v>500</v>
      </c>
      <c r="I485" s="252"/>
      <c r="J485" s="252"/>
      <c r="K485" s="615">
        <v>1621920</v>
      </c>
      <c r="L485" s="194" t="s">
        <v>284</v>
      </c>
      <c r="M485" s="194" t="s">
        <v>495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84">
        <v>41008</v>
      </c>
      <c r="D486" s="184" t="s">
        <v>363</v>
      </c>
      <c r="E486" s="184">
        <v>41008</v>
      </c>
      <c r="F486" s="189" t="s">
        <v>365</v>
      </c>
      <c r="G486" s="617" t="s">
        <v>361</v>
      </c>
      <c r="H486" s="193" t="s">
        <v>596</v>
      </c>
      <c r="I486" s="252"/>
      <c r="J486" s="252"/>
      <c r="K486" s="615">
        <v>9004336</v>
      </c>
      <c r="L486" s="616" t="s">
        <v>24</v>
      </c>
      <c r="M486" s="616" t="s">
        <v>284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>x</v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6"/>
      <c r="AB486" s="606"/>
      <c r="AC486" s="849"/>
      <c r="AD486" s="849"/>
    </row>
    <row r="487" spans="1:30" ht="15.75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84">
        <v>41009</v>
      </c>
      <c r="D487" s="184" t="s">
        <v>445</v>
      </c>
      <c r="E487" s="184">
        <v>41009</v>
      </c>
      <c r="F487" s="189" t="s">
        <v>559</v>
      </c>
      <c r="G487" s="617" t="s">
        <v>361</v>
      </c>
      <c r="H487" s="7" t="s">
        <v>684</v>
      </c>
      <c r="I487" s="252"/>
      <c r="J487" s="252"/>
      <c r="K487" s="615">
        <v>30000000</v>
      </c>
      <c r="L487" s="616" t="s">
        <v>48</v>
      </c>
      <c r="M487" s="616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>x</v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6"/>
      <c r="AC487" s="849"/>
      <c r="AD487" s="849"/>
    </row>
    <row r="488" spans="1:30" ht="15.75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84">
        <v>41009</v>
      </c>
      <c r="D488" s="184" t="s">
        <v>364</v>
      </c>
      <c r="E488" s="184">
        <v>41009</v>
      </c>
      <c r="F488" s="189" t="s">
        <v>400</v>
      </c>
      <c r="G488" s="617" t="s">
        <v>361</v>
      </c>
      <c r="H488" s="7" t="s">
        <v>436</v>
      </c>
      <c r="I488" s="252"/>
      <c r="J488" s="252"/>
      <c r="K488" s="615">
        <v>35000000</v>
      </c>
      <c r="L488" s="616" t="s">
        <v>8</v>
      </c>
      <c r="M488" s="616" t="s">
        <v>24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>x</v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606"/>
      <c r="AB488" s="606"/>
      <c r="AC488" s="849"/>
      <c r="AD488" s="849"/>
    </row>
    <row r="489" spans="1:30" ht="15.75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84">
        <v>41009</v>
      </c>
      <c r="D489" s="184" t="s">
        <v>364</v>
      </c>
      <c r="E489" s="184">
        <v>41009</v>
      </c>
      <c r="F489" s="189" t="s">
        <v>366</v>
      </c>
      <c r="G489" s="617" t="s">
        <v>361</v>
      </c>
      <c r="H489" s="7"/>
      <c r="I489" s="252"/>
      <c r="J489" s="252"/>
      <c r="K489" s="615">
        <v>10000</v>
      </c>
      <c r="L489" s="616" t="s">
        <v>84</v>
      </c>
      <c r="M489" s="616" t="s">
        <v>24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>x</v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>642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6"/>
      <c r="AB489" s="606"/>
      <c r="AC489" s="849"/>
      <c r="AD489" s="849"/>
    </row>
    <row r="490" spans="1:30" ht="15.75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f t="shared" ref="C490:C496" si="38">E490</f>
        <v>41009</v>
      </c>
      <c r="D490" s="191" t="s">
        <v>1588</v>
      </c>
      <c r="E490" s="184">
        <v>41009</v>
      </c>
      <c r="F490" s="189" t="s">
        <v>1121</v>
      </c>
      <c r="G490" s="488" t="s">
        <v>968</v>
      </c>
      <c r="H490" s="193" t="s">
        <v>958</v>
      </c>
      <c r="I490" s="252">
        <v>420</v>
      </c>
      <c r="J490" s="252">
        <v>8000</v>
      </c>
      <c r="K490" s="615">
        <f>ROUND(I490*J490,0)</f>
        <v>3360000</v>
      </c>
      <c r="L490" s="194" t="s">
        <v>284</v>
      </c>
      <c r="M490" s="194" t="s">
        <v>185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211"/>
      <c r="AC490" s="211"/>
      <c r="AD490" s="211"/>
    </row>
    <row r="491" spans="1:30" ht="15.75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f t="shared" si="38"/>
        <v>41009</v>
      </c>
      <c r="D491" s="191" t="s">
        <v>1588</v>
      </c>
      <c r="E491" s="184">
        <v>41009</v>
      </c>
      <c r="F491" s="189" t="s">
        <v>1218</v>
      </c>
      <c r="G491" s="488" t="s">
        <v>968</v>
      </c>
      <c r="H491" s="193" t="s">
        <v>958</v>
      </c>
      <c r="I491" s="252">
        <v>412</v>
      </c>
      <c r="J491" s="252">
        <v>8360</v>
      </c>
      <c r="K491" s="615">
        <f>ROUND(I491*J491,0)</f>
        <v>3444320</v>
      </c>
      <c r="L491" s="194" t="s">
        <v>284</v>
      </c>
      <c r="M491" s="194" t="s">
        <v>185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211"/>
      <c r="AC491" s="211"/>
      <c r="AD491" s="211"/>
    </row>
    <row r="492" spans="1:30" ht="15.75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91">
        <f t="shared" si="38"/>
        <v>41009</v>
      </c>
      <c r="D492" s="191" t="s">
        <v>1588</v>
      </c>
      <c r="E492" s="882">
        <v>41009</v>
      </c>
      <c r="F492" s="192" t="s">
        <v>555</v>
      </c>
      <c r="G492" s="488" t="s">
        <v>968</v>
      </c>
      <c r="H492" s="193" t="s">
        <v>958</v>
      </c>
      <c r="I492" s="252"/>
      <c r="J492" s="252"/>
      <c r="K492" s="615">
        <v>680432</v>
      </c>
      <c r="L492" s="194" t="s">
        <v>284</v>
      </c>
      <c r="M492" s="194" t="s">
        <v>495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</row>
    <row r="493" spans="1:30" ht="15.75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91">
        <f t="shared" si="38"/>
        <v>41009</v>
      </c>
      <c r="D493" s="191" t="s">
        <v>538</v>
      </c>
      <c r="E493" s="882">
        <v>41009</v>
      </c>
      <c r="F493" s="192" t="s">
        <v>365</v>
      </c>
      <c r="G493" s="488" t="s">
        <v>968</v>
      </c>
      <c r="H493" s="193" t="s">
        <v>958</v>
      </c>
      <c r="I493" s="252"/>
      <c r="J493" s="252"/>
      <c r="K493" s="615">
        <v>7484752</v>
      </c>
      <c r="L493" s="194" t="s">
        <v>48</v>
      </c>
      <c r="M493" s="194" t="s">
        <v>284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>x</v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</row>
    <row r="494" spans="1:30" ht="15.75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91">
        <f t="shared" si="38"/>
        <v>41009</v>
      </c>
      <c r="D494" s="191" t="s">
        <v>1589</v>
      </c>
      <c r="E494" s="184">
        <v>41009</v>
      </c>
      <c r="F494" s="189" t="s">
        <v>1217</v>
      </c>
      <c r="G494" s="488" t="s">
        <v>969</v>
      </c>
      <c r="H494" s="193" t="s">
        <v>596</v>
      </c>
      <c r="I494" s="252">
        <v>1000</v>
      </c>
      <c r="J494" s="252">
        <v>2000</v>
      </c>
      <c r="K494" s="615">
        <f>ROUND(I494*J494,0)</f>
        <v>2000000</v>
      </c>
      <c r="L494" s="194" t="s">
        <v>284</v>
      </c>
      <c r="M494" s="194" t="s">
        <v>185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211"/>
      <c r="AB494" s="211"/>
      <c r="AC494" s="211"/>
      <c r="AD494" s="211"/>
    </row>
    <row r="495" spans="1:30" ht="15.75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f t="shared" si="38"/>
        <v>41009</v>
      </c>
      <c r="D495" s="191" t="s">
        <v>1589</v>
      </c>
      <c r="E495" s="184">
        <v>41009</v>
      </c>
      <c r="F495" s="189" t="s">
        <v>1216</v>
      </c>
      <c r="G495" s="488" t="s">
        <v>969</v>
      </c>
      <c r="H495" s="193" t="s">
        <v>596</v>
      </c>
      <c r="I495" s="252">
        <v>1500</v>
      </c>
      <c r="J495" s="252">
        <v>1000</v>
      </c>
      <c r="K495" s="615">
        <f>ROUND(I495*J495,0)</f>
        <v>1500000</v>
      </c>
      <c r="L495" s="194" t="s">
        <v>284</v>
      </c>
      <c r="M495" s="194" t="s">
        <v>185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211"/>
      <c r="AC495" s="211"/>
      <c r="AD495" s="211"/>
    </row>
    <row r="496" spans="1:30" ht="15.75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f t="shared" si="38"/>
        <v>41009</v>
      </c>
      <c r="D496" s="191" t="s">
        <v>1589</v>
      </c>
      <c r="E496" s="883">
        <v>41009</v>
      </c>
      <c r="F496" s="192" t="s">
        <v>555</v>
      </c>
      <c r="G496" s="488" t="s">
        <v>969</v>
      </c>
      <c r="H496" s="193" t="s">
        <v>596</v>
      </c>
      <c r="I496" s="252"/>
      <c r="J496" s="252"/>
      <c r="K496" s="615">
        <v>350000</v>
      </c>
      <c r="L496" s="194" t="s">
        <v>284</v>
      </c>
      <c r="M496" s="194" t="s">
        <v>495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</row>
    <row r="497" spans="1:30" ht="15.75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41010</v>
      </c>
      <c r="D497" s="184" t="s">
        <v>363</v>
      </c>
      <c r="E497" s="191">
        <v>41010</v>
      </c>
      <c r="F497" s="189" t="s">
        <v>365</v>
      </c>
      <c r="G497" s="490" t="s">
        <v>361</v>
      </c>
      <c r="H497" s="7" t="s">
        <v>497</v>
      </c>
      <c r="I497" s="252"/>
      <c r="J497" s="252"/>
      <c r="K497" s="615">
        <v>25000000</v>
      </c>
      <c r="L497" s="194" t="s">
        <v>24</v>
      </c>
      <c r="M497" s="194" t="s">
        <v>284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>x</v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6"/>
      <c r="AB497" s="606"/>
      <c r="AC497" s="849"/>
      <c r="AD497" s="849"/>
    </row>
    <row r="498" spans="1:30" ht="15.75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f>E498</f>
        <v>41010</v>
      </c>
      <c r="D498" s="191" t="s">
        <v>1590</v>
      </c>
      <c r="E498" s="184">
        <v>41010</v>
      </c>
      <c r="F498" s="192" t="s">
        <v>1214</v>
      </c>
      <c r="G498" s="488" t="s">
        <v>970</v>
      </c>
      <c r="H498" s="210" t="s">
        <v>960</v>
      </c>
      <c r="I498" s="252">
        <v>85</v>
      </c>
      <c r="J498" s="252">
        <v>17388</v>
      </c>
      <c r="K498" s="615">
        <f>ROUND(I498*J498,0)</f>
        <v>1477980</v>
      </c>
      <c r="L498" s="194" t="s">
        <v>284</v>
      </c>
      <c r="M498" s="194" t="s">
        <v>185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211"/>
      <c r="AB498" s="211"/>
      <c r="AC498" s="211"/>
      <c r="AD498" s="211"/>
    </row>
    <row r="499" spans="1:30" ht="15.75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f>E499</f>
        <v>41010</v>
      </c>
      <c r="D499" s="191" t="s">
        <v>1590</v>
      </c>
      <c r="E499" s="883">
        <v>41010</v>
      </c>
      <c r="F499" s="192" t="s">
        <v>1215</v>
      </c>
      <c r="G499" s="488" t="s">
        <v>970</v>
      </c>
      <c r="H499" s="210" t="s">
        <v>960</v>
      </c>
      <c r="I499" s="252"/>
      <c r="J499" s="252"/>
      <c r="K499" s="615">
        <v>147798</v>
      </c>
      <c r="L499" s="194" t="s">
        <v>284</v>
      </c>
      <c r="M499" s="194" t="s">
        <v>495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</row>
    <row r="500" spans="1:30" ht="15.75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f>E500</f>
        <v>41010</v>
      </c>
      <c r="D500" s="191" t="s">
        <v>543</v>
      </c>
      <c r="E500" s="883">
        <v>41010</v>
      </c>
      <c r="F500" s="192" t="s">
        <v>365</v>
      </c>
      <c r="G500" s="488" t="s">
        <v>970</v>
      </c>
      <c r="H500" s="210" t="s">
        <v>960</v>
      </c>
      <c r="I500" s="252"/>
      <c r="J500" s="252"/>
      <c r="K500" s="615">
        <v>1625778</v>
      </c>
      <c r="L500" s="194" t="s">
        <v>48</v>
      </c>
      <c r="M500" s="194" t="s">
        <v>284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>x</v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</row>
    <row r="501" spans="1:30" ht="15.75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364</v>
      </c>
      <c r="E501" s="191">
        <v>41012</v>
      </c>
      <c r="F501" s="189" t="s">
        <v>400</v>
      </c>
      <c r="G501" s="490" t="s">
        <v>361</v>
      </c>
      <c r="H501" s="7" t="s">
        <v>436</v>
      </c>
      <c r="I501" s="252"/>
      <c r="J501" s="252"/>
      <c r="K501" s="615">
        <v>26477546</v>
      </c>
      <c r="L501" s="616" t="s">
        <v>8</v>
      </c>
      <c r="M501" s="194" t="s">
        <v>24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>x</v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606"/>
      <c r="AB501" s="606"/>
      <c r="AC501" s="849"/>
      <c r="AD501" s="849"/>
    </row>
    <row r="502" spans="1:30" ht="15.75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364</v>
      </c>
      <c r="E502" s="191">
        <v>41012</v>
      </c>
      <c r="F502" s="189" t="s">
        <v>366</v>
      </c>
      <c r="G502" s="490" t="s">
        <v>361</v>
      </c>
      <c r="H502" s="7"/>
      <c r="I502" s="252"/>
      <c r="J502" s="252"/>
      <c r="K502" s="615">
        <v>20000</v>
      </c>
      <c r="L502" s="194" t="s">
        <v>84</v>
      </c>
      <c r="M502" s="194" t="s">
        <v>24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>x</v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642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6"/>
      <c r="AC502" s="849"/>
      <c r="AD502" s="849"/>
    </row>
    <row r="503" spans="1:30" ht="15.75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461</v>
      </c>
      <c r="E503" s="191">
        <v>41012</v>
      </c>
      <c r="F503" s="189" t="s">
        <v>1368</v>
      </c>
      <c r="G503" s="490" t="s">
        <v>685</v>
      </c>
      <c r="H503" s="7" t="s">
        <v>436</v>
      </c>
      <c r="I503" s="252">
        <v>260</v>
      </c>
      <c r="J503" s="252">
        <v>11939</v>
      </c>
      <c r="K503" s="615">
        <v>3104140</v>
      </c>
      <c r="L503" s="194" t="s">
        <v>169</v>
      </c>
      <c r="M503" s="616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6"/>
      <c r="AC503" s="849"/>
      <c r="AD503" s="849"/>
    </row>
    <row r="504" spans="1:30" ht="15.75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461</v>
      </c>
      <c r="E504" s="191">
        <v>41012</v>
      </c>
      <c r="F504" s="189" t="s">
        <v>1369</v>
      </c>
      <c r="G504" s="490" t="s">
        <v>685</v>
      </c>
      <c r="H504" s="7" t="s">
        <v>436</v>
      </c>
      <c r="I504" s="252">
        <v>340</v>
      </c>
      <c r="J504" s="252">
        <v>13176</v>
      </c>
      <c r="K504" s="615">
        <v>4479840</v>
      </c>
      <c r="L504" s="194" t="s">
        <v>169</v>
      </c>
      <c r="M504" s="616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606"/>
      <c r="AB504" s="606"/>
      <c r="AC504" s="849"/>
      <c r="AD504" s="849"/>
    </row>
    <row r="505" spans="1:30" ht="15.75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461</v>
      </c>
      <c r="E505" s="191">
        <v>41012</v>
      </c>
      <c r="F505" s="189" t="s">
        <v>1370</v>
      </c>
      <c r="G505" s="490" t="s">
        <v>685</v>
      </c>
      <c r="H505" s="7" t="s">
        <v>436</v>
      </c>
      <c r="I505" s="252">
        <v>520</v>
      </c>
      <c r="J505" s="252">
        <v>14656</v>
      </c>
      <c r="K505" s="615">
        <v>7621120</v>
      </c>
      <c r="L505" s="194" t="s">
        <v>169</v>
      </c>
      <c r="M505" s="616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6"/>
      <c r="AC505" s="849"/>
      <c r="AD505" s="849"/>
    </row>
    <row r="506" spans="1:30" ht="15.75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461</v>
      </c>
      <c r="E506" s="191">
        <v>41012</v>
      </c>
      <c r="F506" s="189" t="s">
        <v>1380</v>
      </c>
      <c r="G506" s="490" t="s">
        <v>685</v>
      </c>
      <c r="H506" s="7" t="s">
        <v>436</v>
      </c>
      <c r="I506" s="252">
        <v>100</v>
      </c>
      <c r="J506" s="252">
        <v>15159</v>
      </c>
      <c r="K506" s="38">
        <v>1515900</v>
      </c>
      <c r="L506" s="194" t="s">
        <v>169</v>
      </c>
      <c r="M506" s="616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211"/>
      <c r="AB506" s="606"/>
      <c r="AC506" s="849"/>
      <c r="AD506" s="849"/>
    </row>
    <row r="507" spans="1:30" ht="15.75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84">
        <v>41012</v>
      </c>
      <c r="D507" s="184" t="s">
        <v>461</v>
      </c>
      <c r="E507" s="184">
        <v>41012</v>
      </c>
      <c r="F507" s="189" t="s">
        <v>1371</v>
      </c>
      <c r="G507" s="617" t="s">
        <v>685</v>
      </c>
      <c r="H507" s="7" t="s">
        <v>436</v>
      </c>
      <c r="I507" s="252">
        <v>1256</v>
      </c>
      <c r="J507" s="252">
        <v>19916</v>
      </c>
      <c r="K507" s="615">
        <v>25014496</v>
      </c>
      <c r="L507" s="194" t="s">
        <v>169</v>
      </c>
      <c r="M507" s="616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606"/>
      <c r="AB507" s="606"/>
      <c r="AC507" s="849"/>
      <c r="AD507" s="849"/>
    </row>
    <row r="508" spans="1:30" ht="15.75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84">
        <v>41012</v>
      </c>
      <c r="D508" s="184" t="s">
        <v>461</v>
      </c>
      <c r="E508" s="184">
        <v>41012</v>
      </c>
      <c r="F508" s="189" t="s">
        <v>1372</v>
      </c>
      <c r="G508" s="617" t="s">
        <v>685</v>
      </c>
      <c r="H508" s="7" t="s">
        <v>436</v>
      </c>
      <c r="I508" s="252">
        <v>160</v>
      </c>
      <c r="J508" s="252">
        <v>21859</v>
      </c>
      <c r="K508" s="615">
        <v>3497440</v>
      </c>
      <c r="L508" s="194" t="s">
        <v>169</v>
      </c>
      <c r="M508" s="616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211"/>
      <c r="AB508" s="606"/>
      <c r="AC508" s="849"/>
      <c r="AD508" s="849"/>
    </row>
    <row r="509" spans="1:30" ht="15.75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84">
        <v>41012</v>
      </c>
      <c r="D509" s="184" t="s">
        <v>461</v>
      </c>
      <c r="E509" s="184">
        <v>41012</v>
      </c>
      <c r="F509" s="189" t="s">
        <v>1373</v>
      </c>
      <c r="G509" s="617" t="s">
        <v>685</v>
      </c>
      <c r="H509" s="7" t="s">
        <v>436</v>
      </c>
      <c r="I509" s="252">
        <v>1200</v>
      </c>
      <c r="J509" s="252">
        <v>19139</v>
      </c>
      <c r="K509" s="615">
        <v>22966800</v>
      </c>
      <c r="L509" s="194" t="s">
        <v>169</v>
      </c>
      <c r="M509" s="616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6"/>
      <c r="AB509" s="606"/>
      <c r="AC509" s="849"/>
      <c r="AD509" s="849"/>
    </row>
    <row r="510" spans="1:30" ht="15.75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41012</v>
      </c>
      <c r="D510" s="184" t="s">
        <v>461</v>
      </c>
      <c r="E510" s="191">
        <v>41012</v>
      </c>
      <c r="F510" s="192" t="s">
        <v>1374</v>
      </c>
      <c r="G510" s="490" t="s">
        <v>685</v>
      </c>
      <c r="H510" s="7" t="s">
        <v>436</v>
      </c>
      <c r="I510" s="252">
        <v>120</v>
      </c>
      <c r="J510" s="252">
        <v>23262</v>
      </c>
      <c r="K510" s="615">
        <v>2791440</v>
      </c>
      <c r="L510" s="194" t="s">
        <v>169</v>
      </c>
      <c r="M510" s="616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6"/>
      <c r="AC510" s="849"/>
      <c r="AD510" s="849"/>
    </row>
    <row r="511" spans="1:30" ht="15.75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41012</v>
      </c>
      <c r="D511" s="184" t="s">
        <v>461</v>
      </c>
      <c r="E511" s="191">
        <v>41012</v>
      </c>
      <c r="F511" s="192" t="s">
        <v>1381</v>
      </c>
      <c r="G511" s="490" t="s">
        <v>685</v>
      </c>
      <c r="H511" s="7" t="s">
        <v>436</v>
      </c>
      <c r="I511" s="254">
        <v>130</v>
      </c>
      <c r="J511" s="254">
        <v>23477</v>
      </c>
      <c r="K511" s="615">
        <v>3052010</v>
      </c>
      <c r="L511" s="194" t="s">
        <v>169</v>
      </c>
      <c r="M511" s="616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6"/>
      <c r="AB511" s="606"/>
      <c r="AC511" s="849"/>
      <c r="AD511" s="849"/>
    </row>
    <row r="512" spans="1:30" ht="15.75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41012</v>
      </c>
      <c r="D512" s="184" t="s">
        <v>461</v>
      </c>
      <c r="E512" s="191">
        <v>41012</v>
      </c>
      <c r="F512" s="192" t="s">
        <v>566</v>
      </c>
      <c r="G512" s="490" t="s">
        <v>685</v>
      </c>
      <c r="H512" s="7" t="s">
        <v>436</v>
      </c>
      <c r="I512" s="252"/>
      <c r="J512" s="252"/>
      <c r="K512" s="615">
        <v>7404319</v>
      </c>
      <c r="L512" s="194" t="s">
        <v>9</v>
      </c>
      <c r="M512" s="616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606">
        <v>4</v>
      </c>
      <c r="AB512" s="606"/>
      <c r="AC512" s="849"/>
      <c r="AD512" s="849"/>
    </row>
    <row r="513" spans="1:30" ht="15.75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41012</v>
      </c>
      <c r="D513" s="184" t="s">
        <v>462</v>
      </c>
      <c r="E513" s="191">
        <v>41012</v>
      </c>
      <c r="F513" s="192" t="s">
        <v>1382</v>
      </c>
      <c r="G513" s="490" t="s">
        <v>686</v>
      </c>
      <c r="H513" s="7" t="s">
        <v>436</v>
      </c>
      <c r="I513" s="254">
        <v>100</v>
      </c>
      <c r="J513" s="254">
        <v>12814</v>
      </c>
      <c r="K513" s="615">
        <v>1281400</v>
      </c>
      <c r="L513" s="194" t="s">
        <v>169</v>
      </c>
      <c r="M513" s="616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6"/>
      <c r="AB513" s="606"/>
      <c r="AC513" s="849"/>
      <c r="AD513" s="849"/>
    </row>
    <row r="514" spans="1:30" ht="15.75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91">
        <v>41012</v>
      </c>
      <c r="D514" s="184" t="s">
        <v>462</v>
      </c>
      <c r="E514" s="191">
        <v>41012</v>
      </c>
      <c r="F514" s="192" t="s">
        <v>1383</v>
      </c>
      <c r="G514" s="490" t="s">
        <v>686</v>
      </c>
      <c r="H514" s="7" t="s">
        <v>436</v>
      </c>
      <c r="I514" s="252">
        <v>100</v>
      </c>
      <c r="J514" s="252">
        <v>13782</v>
      </c>
      <c r="K514" s="615">
        <v>1378200</v>
      </c>
      <c r="L514" s="194" t="s">
        <v>169</v>
      </c>
      <c r="M514" s="616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606"/>
      <c r="AB514" s="606"/>
      <c r="AC514" s="849"/>
      <c r="AD514" s="849"/>
    </row>
    <row r="515" spans="1:30" ht="15.75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41012</v>
      </c>
      <c r="D515" s="184" t="s">
        <v>462</v>
      </c>
      <c r="E515" s="191">
        <v>41012</v>
      </c>
      <c r="F515" s="192" t="s">
        <v>1384</v>
      </c>
      <c r="G515" s="490" t="s">
        <v>686</v>
      </c>
      <c r="H515" s="7" t="s">
        <v>436</v>
      </c>
      <c r="I515" s="254">
        <v>250</v>
      </c>
      <c r="J515" s="254">
        <v>11480</v>
      </c>
      <c r="K515" s="615">
        <v>2870000</v>
      </c>
      <c r="L515" s="194" t="s">
        <v>169</v>
      </c>
      <c r="M515" s="616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6"/>
      <c r="AB515" s="606"/>
      <c r="AC515" s="849"/>
      <c r="AD515" s="849"/>
    </row>
    <row r="516" spans="1:30" ht="15.75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v>41012</v>
      </c>
      <c r="D516" s="184" t="s">
        <v>462</v>
      </c>
      <c r="E516" s="191">
        <v>41012</v>
      </c>
      <c r="F516" s="192" t="s">
        <v>1262</v>
      </c>
      <c r="G516" s="490" t="s">
        <v>686</v>
      </c>
      <c r="H516" s="7" t="s">
        <v>436</v>
      </c>
      <c r="I516" s="252">
        <v>76</v>
      </c>
      <c r="J516" s="252">
        <v>28987</v>
      </c>
      <c r="K516" s="615">
        <v>2203012</v>
      </c>
      <c r="L516" s="194" t="s">
        <v>169</v>
      </c>
      <c r="M516" s="616" t="s">
        <v>8</v>
      </c>
      <c r="N516" s="52" t="str">
        <f>IF(AND('331-CT'!$E$7=TH!H516,OR(L516="331",M516="331")),"331",IF(AND(OR(L516="131",M516="131"),H516='131-CT'!$E$7),"131",""))</f>
        <v>331</v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606"/>
      <c r="AC516" s="849"/>
      <c r="AD516" s="849"/>
    </row>
    <row r="517" spans="1:30" ht="15.75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v>41012</v>
      </c>
      <c r="D517" s="184" t="s">
        <v>462</v>
      </c>
      <c r="E517" s="191">
        <v>41012</v>
      </c>
      <c r="F517" s="192" t="s">
        <v>1263</v>
      </c>
      <c r="G517" s="490" t="s">
        <v>686</v>
      </c>
      <c r="H517" s="7" t="s">
        <v>436</v>
      </c>
      <c r="I517" s="254">
        <v>320</v>
      </c>
      <c r="J517" s="254">
        <v>11635</v>
      </c>
      <c r="K517" s="615">
        <v>3723200</v>
      </c>
      <c r="L517" s="194" t="s">
        <v>169</v>
      </c>
      <c r="M517" s="616" t="s">
        <v>8</v>
      </c>
      <c r="N517" s="52" t="str">
        <f>IF(AND('331-CT'!$E$7=TH!H517,OR(L517="331",M517="331")),"331",IF(AND(OR(L517="131",M517="131"),H517='131-CT'!$E$7),"131",""))</f>
        <v>331</v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/>
      <c r="AB517" s="606"/>
      <c r="AC517" s="849"/>
      <c r="AD517" s="849"/>
    </row>
    <row r="518" spans="1:30" ht="15.75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41012</v>
      </c>
      <c r="D518" s="184" t="s">
        <v>462</v>
      </c>
      <c r="E518" s="191">
        <v>41012</v>
      </c>
      <c r="F518" s="192" t="s">
        <v>1264</v>
      </c>
      <c r="G518" s="490" t="s">
        <v>686</v>
      </c>
      <c r="H518" s="7" t="s">
        <v>436</v>
      </c>
      <c r="I518" s="252">
        <v>500</v>
      </c>
      <c r="J518" s="252">
        <v>15913</v>
      </c>
      <c r="K518" s="38">
        <v>7956500</v>
      </c>
      <c r="L518" s="194" t="s">
        <v>169</v>
      </c>
      <c r="M518" s="616" t="s">
        <v>8</v>
      </c>
      <c r="N518" s="52" t="str">
        <f>IF(AND('331-CT'!$E$7=TH!H518,OR(L518="331",M518="331")),"331",IF(AND(OR(L518="131",M518="131"),H518='131-CT'!$E$7),"131",""))</f>
        <v>331</v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/>
      <c r="AB518" s="606"/>
      <c r="AC518" s="849"/>
      <c r="AD518" s="849"/>
    </row>
    <row r="519" spans="1:30" ht="15.75" customHeight="1">
      <c r="A519" s="204" t="str">
        <f>IF(B519&lt;&gt;"",IF(AND(B519&gt;=_TM1,B519&lt;=_TM2,OR(TH!L519="1111",TH!M519="1111")),TH!D519,""),"")</f>
        <v/>
      </c>
      <c r="B519" s="36">
        <f t="shared" si="36"/>
        <v>4</v>
      </c>
      <c r="C519" s="191">
        <v>41012</v>
      </c>
      <c r="D519" s="184" t="s">
        <v>462</v>
      </c>
      <c r="E519" s="191">
        <v>41012</v>
      </c>
      <c r="F519" s="189" t="s">
        <v>1265</v>
      </c>
      <c r="G519" s="490" t="s">
        <v>686</v>
      </c>
      <c r="H519" s="7" t="s">
        <v>436</v>
      </c>
      <c r="I519" s="252">
        <v>50</v>
      </c>
      <c r="J519" s="252">
        <v>17306</v>
      </c>
      <c r="K519" s="615">
        <v>865300</v>
      </c>
      <c r="L519" s="194" t="s">
        <v>169</v>
      </c>
      <c r="M519" s="616" t="s">
        <v>8</v>
      </c>
      <c r="N519" s="52" t="str">
        <f>IF(AND('331-CT'!$E$7=TH!H519,OR(L519="331",M519="331")),"331",IF(AND(OR(L519="131",M519="131"),H519='131-CT'!$E$7),"131",""))</f>
        <v>331</v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211"/>
      <c r="AB519" s="606"/>
      <c r="AC519" s="849"/>
      <c r="AD519" s="849"/>
    </row>
    <row r="520" spans="1:30" ht="15.75" customHeight="1">
      <c r="A520" s="204" t="str">
        <f>IF(B520&lt;&gt;"",IF(AND(B520&gt;=_TM1,B520&lt;=_TM2,OR(TH!L520="1111",TH!M520="1111")),TH!D520,""),"")</f>
        <v/>
      </c>
      <c r="B520" s="36">
        <f t="shared" si="36"/>
        <v>4</v>
      </c>
      <c r="C520" s="191">
        <v>41012</v>
      </c>
      <c r="D520" s="184" t="s">
        <v>462</v>
      </c>
      <c r="E520" s="191">
        <v>41012</v>
      </c>
      <c r="F520" s="189" t="s">
        <v>1266</v>
      </c>
      <c r="G520" s="490" t="s">
        <v>686</v>
      </c>
      <c r="H520" s="7" t="s">
        <v>436</v>
      </c>
      <c r="I520" s="252">
        <v>350</v>
      </c>
      <c r="J520" s="252">
        <v>18559</v>
      </c>
      <c r="K520" s="615">
        <v>6495650</v>
      </c>
      <c r="L520" s="194" t="s">
        <v>169</v>
      </c>
      <c r="M520" s="616" t="s">
        <v>8</v>
      </c>
      <c r="N520" s="52" t="str">
        <f>IF(AND('331-CT'!$E$7=TH!H520,OR(L520="331",M520="331")),"331",IF(AND(OR(L520="131",M520="131"),H520='131-CT'!$E$7),"131",""))</f>
        <v>331</v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/>
      <c r="AB520" s="606"/>
      <c r="AC520" s="849"/>
      <c r="AD520" s="849"/>
    </row>
    <row r="521" spans="1:30" ht="15.75" customHeight="1">
      <c r="A521" s="204" t="str">
        <f>IF(B521&lt;&gt;"",IF(AND(B521&gt;=_TM1,B521&lt;=_TM2,OR(TH!L521="1111",TH!M521="1111")),TH!D521,""),"")</f>
        <v/>
      </c>
      <c r="B521" s="36">
        <f t="shared" si="36"/>
        <v>4</v>
      </c>
      <c r="C521" s="191">
        <v>41012</v>
      </c>
      <c r="D521" s="184" t="s">
        <v>462</v>
      </c>
      <c r="E521" s="191">
        <v>41012</v>
      </c>
      <c r="F521" s="189" t="s">
        <v>566</v>
      </c>
      <c r="G521" s="490" t="s">
        <v>686</v>
      </c>
      <c r="H521" s="7" t="s">
        <v>436</v>
      </c>
      <c r="I521" s="252"/>
      <c r="J521" s="252"/>
      <c r="K521" s="615">
        <v>2677326</v>
      </c>
      <c r="L521" s="194" t="s">
        <v>9</v>
      </c>
      <c r="M521" s="616" t="s">
        <v>8</v>
      </c>
      <c r="N521" s="52" t="str">
        <f>IF(AND('331-CT'!$E$7=TH!H521,OR(L521="331",M521="331")),"331",IF(AND(OR(L521="131",M521="131"),H521='131-CT'!$E$7),"131",""))</f>
        <v>331</v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606">
        <v>4</v>
      </c>
      <c r="AB521" s="211"/>
      <c r="AC521" s="849"/>
      <c r="AD521" s="849"/>
    </row>
    <row r="522" spans="1:30" ht="15.75" customHeight="1">
      <c r="A522" s="204" t="str">
        <f>IF(B522&lt;&gt;"",IF(AND(B522&gt;=_TM1,B522&lt;=_TM2,OR(TH!L522="1111",TH!M522="1111")),TH!D522,""),"")</f>
        <v/>
      </c>
      <c r="B522" s="36">
        <f t="shared" si="36"/>
        <v>4</v>
      </c>
      <c r="C522" s="191">
        <v>41013</v>
      </c>
      <c r="D522" s="184" t="s">
        <v>463</v>
      </c>
      <c r="E522" s="191">
        <v>41013</v>
      </c>
      <c r="F522" s="189" t="s">
        <v>1385</v>
      </c>
      <c r="G522" s="490" t="s">
        <v>687</v>
      </c>
      <c r="H522" s="7" t="s">
        <v>436</v>
      </c>
      <c r="I522" s="252">
        <v>350</v>
      </c>
      <c r="J522" s="252">
        <v>9353</v>
      </c>
      <c r="K522" s="38">
        <v>3273550</v>
      </c>
      <c r="L522" s="194" t="s">
        <v>169</v>
      </c>
      <c r="M522" s="616" t="s">
        <v>8</v>
      </c>
      <c r="N522" s="52" t="str">
        <f>IF(AND('331-CT'!$E$7=TH!H522,OR(L522="331",M522="331")),"331",IF(AND(OR(L522="131",M522="131"),H522='131-CT'!$E$7),"131",""))</f>
        <v>331</v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  <c r="AB522" s="606"/>
      <c r="AC522" s="849"/>
      <c r="AD522" s="849"/>
    </row>
    <row r="523" spans="1:30" ht="15.75" customHeight="1">
      <c r="A523" s="204" t="str">
        <f>IF(B523&lt;&gt;"",IF(AND(B523&gt;=_TM1,B523&lt;=_TM2,OR(TH!L523="1111",TH!M523="1111")),TH!D523,""),"")</f>
        <v/>
      </c>
      <c r="B523" s="36">
        <f t="shared" si="36"/>
        <v>4</v>
      </c>
      <c r="C523" s="191">
        <v>41013</v>
      </c>
      <c r="D523" s="184" t="s">
        <v>463</v>
      </c>
      <c r="E523" s="191">
        <v>41013</v>
      </c>
      <c r="F523" s="189" t="s">
        <v>1385</v>
      </c>
      <c r="G523" s="490" t="s">
        <v>687</v>
      </c>
      <c r="H523" s="7" t="s">
        <v>436</v>
      </c>
      <c r="I523" s="252">
        <v>170</v>
      </c>
      <c r="J523" s="252">
        <v>8355</v>
      </c>
      <c r="K523" s="615">
        <v>1420350</v>
      </c>
      <c r="L523" s="194" t="s">
        <v>169</v>
      </c>
      <c r="M523" s="616" t="s">
        <v>8</v>
      </c>
      <c r="N523" s="52" t="str">
        <f>IF(AND('331-CT'!$E$7=TH!H523,OR(L523="331",M523="331")),"331",IF(AND(OR(L523="131",M523="131"),H523='131-CT'!$E$7),"131",""))</f>
        <v>331</v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606"/>
      <c r="AB523" s="606"/>
      <c r="AC523" s="849"/>
      <c r="AD523" s="849"/>
    </row>
    <row r="524" spans="1:30" ht="15.75" customHeight="1">
      <c r="A524" s="204" t="str">
        <f>IF(B524&lt;&gt;"",IF(AND(B524&gt;=_TM1,B524&lt;=_TM2,OR(TH!L524="1111",TH!M524="1111")),TH!D524,""),"")</f>
        <v/>
      </c>
      <c r="B524" s="36">
        <f t="shared" si="36"/>
        <v>4</v>
      </c>
      <c r="C524" s="191">
        <v>41013</v>
      </c>
      <c r="D524" s="184" t="s">
        <v>463</v>
      </c>
      <c r="E524" s="191">
        <v>41013</v>
      </c>
      <c r="F524" s="189" t="s">
        <v>1386</v>
      </c>
      <c r="G524" s="490" t="s">
        <v>687</v>
      </c>
      <c r="H524" s="7" t="s">
        <v>436</v>
      </c>
      <c r="I524" s="254">
        <v>150</v>
      </c>
      <c r="J524" s="254">
        <v>11176</v>
      </c>
      <c r="K524" s="615">
        <v>1676400</v>
      </c>
      <c r="L524" s="194" t="s">
        <v>169</v>
      </c>
      <c r="M524" s="616" t="s">
        <v>8</v>
      </c>
      <c r="N524" s="52" t="str">
        <f>IF(AND('331-CT'!$E$7=TH!H524,OR(L524="331",M524="331")),"331",IF(AND(OR(L524="131",M524="131"),H524='131-CT'!$E$7),"131",""))</f>
        <v>331</v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606"/>
      <c r="AB524" s="606"/>
      <c r="AC524" s="849"/>
      <c r="AD524" s="849"/>
    </row>
    <row r="525" spans="1:30" ht="15.75" customHeight="1">
      <c r="A525" s="204" t="str">
        <f>IF(B525&lt;&gt;"",IF(AND(B525&gt;=_TM1,B525&lt;=_TM2,OR(TH!L525="1111",TH!M525="1111")),TH!D525,""),"")</f>
        <v/>
      </c>
      <c r="B525" s="36">
        <f t="shared" si="36"/>
        <v>4</v>
      </c>
      <c r="C525" s="191">
        <v>41013</v>
      </c>
      <c r="D525" s="184" t="s">
        <v>463</v>
      </c>
      <c r="E525" s="191">
        <v>41013</v>
      </c>
      <c r="F525" s="189" t="s">
        <v>1387</v>
      </c>
      <c r="G525" s="490" t="s">
        <v>687</v>
      </c>
      <c r="H525" s="7" t="s">
        <v>436</v>
      </c>
      <c r="I525" s="252">
        <v>200</v>
      </c>
      <c r="J525" s="252">
        <v>12563</v>
      </c>
      <c r="K525" s="615">
        <v>2512600</v>
      </c>
      <c r="L525" s="194" t="s">
        <v>169</v>
      </c>
      <c r="M525" s="616" t="s">
        <v>8</v>
      </c>
      <c r="N525" s="52" t="str">
        <f>IF(AND('331-CT'!$E$7=TH!H525,OR(L525="331",M525="331")),"331",IF(AND(OR(L525="131",M525="131"),H525='131-CT'!$E$7),"131",""))</f>
        <v>331</v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606"/>
      <c r="AC525" s="849"/>
      <c r="AD525" s="849"/>
    </row>
    <row r="526" spans="1:30" ht="15.75" customHeight="1">
      <c r="A526" s="204" t="str">
        <f>IF(B526&lt;&gt;"",IF(AND(B526&gt;=_TM1,B526&lt;=_TM2,OR(TH!L526="1111",TH!M526="1111")),TH!D526,""),"")</f>
        <v/>
      </c>
      <c r="B526" s="36">
        <f t="shared" si="36"/>
        <v>4</v>
      </c>
      <c r="C526" s="191">
        <v>41013</v>
      </c>
      <c r="D526" s="184" t="s">
        <v>463</v>
      </c>
      <c r="E526" s="191">
        <v>41013</v>
      </c>
      <c r="F526" s="189" t="s">
        <v>1388</v>
      </c>
      <c r="G526" s="490" t="s">
        <v>687</v>
      </c>
      <c r="H526" s="7" t="s">
        <v>436</v>
      </c>
      <c r="I526" s="252">
        <v>100</v>
      </c>
      <c r="J526" s="252">
        <v>15544</v>
      </c>
      <c r="K526" s="615">
        <v>1554400</v>
      </c>
      <c r="L526" s="194" t="s">
        <v>169</v>
      </c>
      <c r="M526" s="616" t="s">
        <v>8</v>
      </c>
      <c r="N526" s="52" t="str">
        <f>IF(AND('331-CT'!$E$7=TH!H526,OR(L526="331",M526="331")),"331",IF(AND(OR(L526="131",M526="131"),H526='131-CT'!$E$7),"131",""))</f>
        <v>331</v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606"/>
      <c r="AB526" s="606"/>
      <c r="AC526" s="849"/>
      <c r="AD526" s="849"/>
    </row>
    <row r="527" spans="1:30" ht="15.75" customHeight="1">
      <c r="A527" s="204" t="str">
        <f>IF(B527&lt;&gt;"",IF(AND(B527&gt;=_TM1,B527&lt;=_TM2,OR(TH!L527="1111",TH!M527="1111")),TH!D527,""),"")</f>
        <v/>
      </c>
      <c r="B527" s="36">
        <f t="shared" si="36"/>
        <v>4</v>
      </c>
      <c r="C527" s="191">
        <v>41013</v>
      </c>
      <c r="D527" s="184" t="s">
        <v>463</v>
      </c>
      <c r="E527" s="191">
        <v>41013</v>
      </c>
      <c r="F527" s="189" t="s">
        <v>1267</v>
      </c>
      <c r="G527" s="490" t="s">
        <v>687</v>
      </c>
      <c r="H527" s="7" t="s">
        <v>436</v>
      </c>
      <c r="I527" s="252">
        <v>300</v>
      </c>
      <c r="J527" s="252">
        <v>14375</v>
      </c>
      <c r="K527" s="615">
        <v>4312500</v>
      </c>
      <c r="L527" s="194" t="s">
        <v>169</v>
      </c>
      <c r="M527" s="616" t="s">
        <v>8</v>
      </c>
      <c r="N527" s="52" t="str">
        <f>IF(AND('331-CT'!$E$7=TH!H527,OR(L527="331",M527="331")),"331",IF(AND(OR(L527="131",M527="131"),H527='131-CT'!$E$7),"131",""))</f>
        <v>331</v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/>
      <c r="AB527" s="606"/>
      <c r="AC527" s="849"/>
      <c r="AD527" s="849"/>
    </row>
    <row r="528" spans="1:30" ht="15.75" customHeight="1">
      <c r="A528" s="204" t="str">
        <f>IF(B528&lt;&gt;"",IF(AND(B528&gt;=_TM1,B528&lt;=_TM2,OR(TH!L528="1111",TH!M528="1111")),TH!D528,""),"")</f>
        <v/>
      </c>
      <c r="B528" s="36">
        <f t="shared" si="36"/>
        <v>4</v>
      </c>
      <c r="C528" s="191">
        <v>41013</v>
      </c>
      <c r="D528" s="184" t="s">
        <v>463</v>
      </c>
      <c r="E528" s="191">
        <v>41013</v>
      </c>
      <c r="F528" s="189" t="s">
        <v>1268</v>
      </c>
      <c r="G528" s="490" t="s">
        <v>687</v>
      </c>
      <c r="H528" s="7" t="s">
        <v>436</v>
      </c>
      <c r="I528" s="252">
        <v>500</v>
      </c>
      <c r="J528" s="252">
        <v>19513</v>
      </c>
      <c r="K528" s="38">
        <v>9756500</v>
      </c>
      <c r="L528" s="194" t="s">
        <v>169</v>
      </c>
      <c r="M528" s="616" t="s">
        <v>8</v>
      </c>
      <c r="N528" s="52" t="str">
        <f>IF(AND('331-CT'!$E$7=TH!H528,OR(L528="331",M528="331")),"331",IF(AND(OR(L528="131",M528="131"),H528='131-CT'!$E$7),"131",""))</f>
        <v>331</v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606"/>
      <c r="AB528" s="606"/>
      <c r="AC528" s="849"/>
      <c r="AD528" s="849"/>
    </row>
    <row r="529" spans="1:30" ht="15.75" customHeight="1">
      <c r="A529" s="204" t="str">
        <f>IF(B529&lt;&gt;"",IF(AND(B529&gt;=_TM1,B529&lt;=_TM2,OR(TH!L529="1111",TH!M529="1111")),TH!D529,""),"")</f>
        <v/>
      </c>
      <c r="B529" s="36">
        <f t="shared" si="36"/>
        <v>4</v>
      </c>
      <c r="C529" s="184">
        <v>41013</v>
      </c>
      <c r="D529" s="184" t="s">
        <v>463</v>
      </c>
      <c r="E529" s="184">
        <v>41013</v>
      </c>
      <c r="F529" s="189" t="s">
        <v>1269</v>
      </c>
      <c r="G529" s="617" t="s">
        <v>687</v>
      </c>
      <c r="H529" s="7" t="s">
        <v>436</v>
      </c>
      <c r="I529" s="252">
        <v>1000</v>
      </c>
      <c r="J529" s="252">
        <v>22846</v>
      </c>
      <c r="K529" s="615">
        <v>22846000</v>
      </c>
      <c r="L529" s="194" t="s">
        <v>169</v>
      </c>
      <c r="M529" s="616" t="s">
        <v>8</v>
      </c>
      <c r="N529" s="52" t="str">
        <f>IF(AND('331-CT'!$E$7=TH!H529,OR(L529="331",M529="331")),"331",IF(AND(OR(L529="131",M529="131"),H529='131-CT'!$E$7),"131",""))</f>
        <v>331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606"/>
      <c r="AC529" s="849"/>
      <c r="AD529" s="849"/>
    </row>
    <row r="530" spans="1:30" ht="15.75" customHeight="1">
      <c r="A530" s="204" t="str">
        <f>IF(B530&lt;&gt;"",IF(AND(B530&gt;=_TM1,B530&lt;=_TM2,OR(TH!L530="1111",TH!M530="1111")),TH!D530,""),"")</f>
        <v/>
      </c>
      <c r="B530" s="36">
        <f t="shared" si="36"/>
        <v>4</v>
      </c>
      <c r="C530" s="191">
        <v>41013</v>
      </c>
      <c r="D530" s="184" t="s">
        <v>463</v>
      </c>
      <c r="E530" s="191">
        <v>41013</v>
      </c>
      <c r="F530" s="192" t="s">
        <v>566</v>
      </c>
      <c r="G530" s="490" t="s">
        <v>687</v>
      </c>
      <c r="H530" s="7" t="s">
        <v>436</v>
      </c>
      <c r="I530" s="254"/>
      <c r="J530" s="254"/>
      <c r="K530" s="615">
        <v>4735230</v>
      </c>
      <c r="L530" s="194" t="s">
        <v>9</v>
      </c>
      <c r="M530" s="616" t="s">
        <v>8</v>
      </c>
      <c r="N530" s="52" t="str">
        <f>IF(AND('331-CT'!$E$7=TH!H530,OR(L530="331",M530="331")),"331",IF(AND(OR(L530="131",M530="131"),H530='131-CT'!$E$7),"131",""))</f>
        <v>331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06">
        <v>4</v>
      </c>
      <c r="AB530" s="211"/>
      <c r="AC530" s="849"/>
      <c r="AD530" s="849"/>
    </row>
    <row r="531" spans="1:30" ht="15.75" customHeight="1">
      <c r="A531" s="204" t="str">
        <f>IF(B531&lt;&gt;"",IF(AND(B531&gt;=_TM1,B531&lt;=_TM2,OR(TH!L531="1111",TH!M531="1111")),TH!D531,""),"")</f>
        <v/>
      </c>
      <c r="B531" s="36">
        <f t="shared" si="36"/>
        <v>4</v>
      </c>
      <c r="C531" s="191">
        <f>E531</f>
        <v>41016</v>
      </c>
      <c r="D531" s="184" t="s">
        <v>411</v>
      </c>
      <c r="E531" s="191">
        <v>41016</v>
      </c>
      <c r="F531" s="189" t="s">
        <v>589</v>
      </c>
      <c r="G531" s="488" t="s">
        <v>1469</v>
      </c>
      <c r="H531" s="7" t="s">
        <v>591</v>
      </c>
      <c r="I531" s="252"/>
      <c r="J531" s="255"/>
      <c r="K531" s="615">
        <f>158359+311427+284766+199218</f>
        <v>953770</v>
      </c>
      <c r="L531" s="194" t="s">
        <v>84</v>
      </c>
      <c r="M531" s="616" t="s">
        <v>48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>x</v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642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customHeight="1">
      <c r="A532" s="204" t="str">
        <f>IF(B532&lt;&gt;"",IF(AND(B532&gt;=_TM1,B532&lt;=_TM2,OR(TH!L532="1111",TH!M532="1111")),TH!D532,""),"")</f>
        <v/>
      </c>
      <c r="B532" s="36">
        <f t="shared" si="36"/>
        <v>4</v>
      </c>
      <c r="C532" s="191">
        <f>E532</f>
        <v>41016</v>
      </c>
      <c r="D532" s="184" t="s">
        <v>411</v>
      </c>
      <c r="E532" s="191">
        <v>41016</v>
      </c>
      <c r="F532" s="189" t="s">
        <v>592</v>
      </c>
      <c r="G532" s="488" t="s">
        <v>1469</v>
      </c>
      <c r="H532" s="7" t="s">
        <v>591</v>
      </c>
      <c r="I532" s="255"/>
      <c r="J532" s="255"/>
      <c r="K532" s="38">
        <f>15836+31143+28477+19922</f>
        <v>95378</v>
      </c>
      <c r="L532" s="194" t="s">
        <v>9</v>
      </c>
      <c r="M532" s="616" t="s">
        <v>48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>x</v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211">
        <v>4</v>
      </c>
      <c r="AB532" s="211"/>
      <c r="AC532" s="606"/>
      <c r="AD532" s="606"/>
    </row>
    <row r="533" spans="1:30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6"/>
        <v>4</v>
      </c>
      <c r="C533" s="191">
        <v>41016</v>
      </c>
      <c r="D533" s="184" t="s">
        <v>363</v>
      </c>
      <c r="E533" s="191">
        <v>41016</v>
      </c>
      <c r="F533" s="192" t="s">
        <v>365</v>
      </c>
      <c r="G533" s="490" t="s">
        <v>361</v>
      </c>
      <c r="H533" s="193" t="s">
        <v>688</v>
      </c>
      <c r="I533" s="254"/>
      <c r="J533" s="254"/>
      <c r="K533" s="615">
        <v>4347750</v>
      </c>
      <c r="L533" s="194" t="s">
        <v>24</v>
      </c>
      <c r="M533" s="194" t="s">
        <v>284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C533" s="849"/>
      <c r="AD533" s="849"/>
    </row>
    <row r="534" spans="1:30" s="606" customFormat="1" ht="15.75" customHeight="1">
      <c r="A534" s="204" t="str">
        <f>IF(B534&lt;&gt;"",IF(AND(B534&gt;=_TM1,B534&lt;=_TM2,OR(TH!L534="1111",TH!M534="1111")),TH!D534,""),"")</f>
        <v/>
      </c>
      <c r="B534" s="36">
        <f t="shared" ref="B534:B596" si="39">IF(C534&lt;&gt;"",MONTH(C534),"")</f>
        <v>4</v>
      </c>
      <c r="C534" s="191">
        <v>41016</v>
      </c>
      <c r="D534" s="184" t="s">
        <v>412</v>
      </c>
      <c r="E534" s="191">
        <v>41016</v>
      </c>
      <c r="F534" s="192" t="s">
        <v>689</v>
      </c>
      <c r="G534" s="490" t="s">
        <v>690</v>
      </c>
      <c r="H534" s="193" t="s">
        <v>401</v>
      </c>
      <c r="I534" s="254"/>
      <c r="J534" s="254"/>
      <c r="K534" s="615">
        <v>2680000</v>
      </c>
      <c r="L534" s="194" t="s">
        <v>175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>x</v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211"/>
      <c r="AC534" s="849"/>
      <c r="AD534" s="849"/>
    </row>
    <row r="535" spans="1:30" ht="15.75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v>41016</v>
      </c>
      <c r="D535" s="184" t="s">
        <v>412</v>
      </c>
      <c r="E535" s="191">
        <v>41016</v>
      </c>
      <c r="F535" s="192" t="s">
        <v>372</v>
      </c>
      <c r="G535" s="490" t="s">
        <v>690</v>
      </c>
      <c r="H535" s="193" t="s">
        <v>401</v>
      </c>
      <c r="I535" s="252"/>
      <c r="J535" s="252"/>
      <c r="K535" s="615">
        <v>268000</v>
      </c>
      <c r="L535" s="194" t="s">
        <v>9</v>
      </c>
      <c r="M535" s="194" t="s">
        <v>48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>x</v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06">
        <v>4</v>
      </c>
      <c r="AB535" s="211"/>
      <c r="AC535" s="849"/>
      <c r="AD535" s="849"/>
    </row>
    <row r="536" spans="1:30" ht="15.75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 t="shared" ref="C536:C547" si="40">E536</f>
        <v>41016</v>
      </c>
      <c r="D536" s="191" t="s">
        <v>1591</v>
      </c>
      <c r="E536" s="184">
        <v>41016</v>
      </c>
      <c r="F536" s="189" t="s">
        <v>1213</v>
      </c>
      <c r="G536" s="488" t="s">
        <v>971</v>
      </c>
      <c r="H536" s="7" t="s">
        <v>499</v>
      </c>
      <c r="I536" s="252">
        <v>940</v>
      </c>
      <c r="J536" s="252">
        <v>9500</v>
      </c>
      <c r="K536" s="615">
        <f>ROUND(I536*J536,0)</f>
        <v>8930000</v>
      </c>
      <c r="L536" s="194" t="s">
        <v>284</v>
      </c>
      <c r="M536" s="194" t="s">
        <v>185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211"/>
      <c r="AB536" s="211"/>
      <c r="AC536" s="211"/>
      <c r="AD536" s="211"/>
    </row>
    <row r="537" spans="1:30" ht="15.75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f t="shared" si="40"/>
        <v>41016</v>
      </c>
      <c r="D537" s="191" t="s">
        <v>1591</v>
      </c>
      <c r="E537" s="883">
        <v>41016</v>
      </c>
      <c r="F537" s="192" t="s">
        <v>555</v>
      </c>
      <c r="G537" s="488" t="s">
        <v>971</v>
      </c>
      <c r="H537" s="7" t="s">
        <v>499</v>
      </c>
      <c r="I537" s="252"/>
      <c r="J537" s="252"/>
      <c r="K537" s="615">
        <v>893000</v>
      </c>
      <c r="L537" s="194" t="s">
        <v>284</v>
      </c>
      <c r="M537" s="194" t="s">
        <v>495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</row>
    <row r="538" spans="1:30" ht="15.75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f t="shared" si="40"/>
        <v>41016</v>
      </c>
      <c r="D538" s="191" t="s">
        <v>1592</v>
      </c>
      <c r="E538" s="184">
        <v>41016</v>
      </c>
      <c r="F538" s="189" t="s">
        <v>1563</v>
      </c>
      <c r="G538" s="488" t="s">
        <v>1562</v>
      </c>
      <c r="H538" s="7" t="s">
        <v>498</v>
      </c>
      <c r="I538" s="252">
        <v>146</v>
      </c>
      <c r="J538" s="252">
        <v>17100</v>
      </c>
      <c r="K538" s="615">
        <f>ROUND(I538*J538,0)</f>
        <v>2496600</v>
      </c>
      <c r="L538" s="194" t="s">
        <v>284</v>
      </c>
      <c r="M538" s="194" t="s">
        <v>185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211"/>
      <c r="AB538" s="211"/>
      <c r="AC538" s="211"/>
      <c r="AD538" s="211"/>
    </row>
    <row r="539" spans="1:30" ht="15.75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si="40"/>
        <v>41016</v>
      </c>
      <c r="D539" s="191" t="s">
        <v>1592</v>
      </c>
      <c r="E539" s="184">
        <v>41016</v>
      </c>
      <c r="F539" s="189" t="s">
        <v>1564</v>
      </c>
      <c r="G539" s="488" t="s">
        <v>1562</v>
      </c>
      <c r="H539" s="7" t="s">
        <v>498</v>
      </c>
      <c r="I539" s="252">
        <v>97</v>
      </c>
      <c r="J539" s="252">
        <v>45560</v>
      </c>
      <c r="K539" s="615">
        <f>ROUND(I539*J539,0)</f>
        <v>4419320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0"/>
        <v>41016</v>
      </c>
      <c r="D540" s="191" t="s">
        <v>1592</v>
      </c>
      <c r="E540" s="184">
        <v>41016</v>
      </c>
      <c r="F540" s="189" t="s">
        <v>1565</v>
      </c>
      <c r="G540" s="488" t="s">
        <v>1562</v>
      </c>
      <c r="H540" s="7" t="s">
        <v>498</v>
      </c>
      <c r="I540" s="252">
        <v>201</v>
      </c>
      <c r="J540" s="252">
        <v>17100</v>
      </c>
      <c r="K540" s="615">
        <f>ROUND(I540*J540,0)</f>
        <v>3437100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0"/>
        <v>41016</v>
      </c>
      <c r="D541" s="191" t="s">
        <v>1592</v>
      </c>
      <c r="E541" s="883">
        <v>41016</v>
      </c>
      <c r="F541" s="192" t="s">
        <v>555</v>
      </c>
      <c r="G541" s="488" t="s">
        <v>1562</v>
      </c>
      <c r="H541" s="7" t="s">
        <v>498</v>
      </c>
      <c r="I541" s="252"/>
      <c r="J541" s="252"/>
      <c r="K541" s="615">
        <v>1035302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0"/>
        <v>41016</v>
      </c>
      <c r="D542" s="191" t="s">
        <v>542</v>
      </c>
      <c r="E542" s="883">
        <v>41016</v>
      </c>
      <c r="F542" s="192" t="s">
        <v>365</v>
      </c>
      <c r="G542" s="488" t="s">
        <v>1562</v>
      </c>
      <c r="H542" s="7" t="s">
        <v>498</v>
      </c>
      <c r="I542" s="252"/>
      <c r="J542" s="252"/>
      <c r="K542" s="615">
        <v>11388322</v>
      </c>
      <c r="L542" s="194" t="s">
        <v>48</v>
      </c>
      <c r="M542" s="194" t="s">
        <v>284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30" ht="15.75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0"/>
        <v>41016</v>
      </c>
      <c r="D543" s="191" t="s">
        <v>1593</v>
      </c>
      <c r="E543" s="184">
        <v>41016</v>
      </c>
      <c r="F543" s="189" t="s">
        <v>1212</v>
      </c>
      <c r="G543" s="488" t="s">
        <v>972</v>
      </c>
      <c r="H543" s="193" t="s">
        <v>700</v>
      </c>
      <c r="I543" s="252">
        <v>110</v>
      </c>
      <c r="J543" s="252">
        <v>34000</v>
      </c>
      <c r="K543" s="615">
        <f>ROUND(I543*J543,0)</f>
        <v>3740000</v>
      </c>
      <c r="L543" s="194" t="s">
        <v>284</v>
      </c>
      <c r="M543" s="194" t="s">
        <v>185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211"/>
      <c r="AB543" s="211"/>
      <c r="AC543" s="211"/>
      <c r="AD543" s="211"/>
    </row>
    <row r="544" spans="1:30" ht="15.75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0"/>
        <v>41016</v>
      </c>
      <c r="D544" s="191" t="s">
        <v>1593</v>
      </c>
      <c r="E544" s="184">
        <v>41016</v>
      </c>
      <c r="F544" s="189" t="s">
        <v>1146</v>
      </c>
      <c r="G544" s="488" t="s">
        <v>972</v>
      </c>
      <c r="H544" s="193" t="s">
        <v>700</v>
      </c>
      <c r="I544" s="252">
        <v>85</v>
      </c>
      <c r="J544" s="252">
        <v>47000</v>
      </c>
      <c r="K544" s="615">
        <f>ROUND(I544*J544,0)</f>
        <v>3995000</v>
      </c>
      <c r="L544" s="194" t="s">
        <v>284</v>
      </c>
      <c r="M544" s="194" t="s">
        <v>185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211"/>
      <c r="AB544" s="211"/>
      <c r="AC544" s="211"/>
      <c r="AD544" s="211"/>
    </row>
    <row r="545" spans="1:30" ht="15.75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f t="shared" si="40"/>
        <v>41016</v>
      </c>
      <c r="D545" s="191" t="s">
        <v>1593</v>
      </c>
      <c r="E545" s="184">
        <v>41016</v>
      </c>
      <c r="F545" s="189" t="s">
        <v>973</v>
      </c>
      <c r="G545" s="488" t="s">
        <v>972</v>
      </c>
      <c r="H545" s="193" t="s">
        <v>700</v>
      </c>
      <c r="I545" s="252">
        <v>150</v>
      </c>
      <c r="J545" s="252">
        <v>16480</v>
      </c>
      <c r="K545" s="615">
        <f>ROUND(I545*J545,0)</f>
        <v>2472000</v>
      </c>
      <c r="L545" s="194" t="s">
        <v>284</v>
      </c>
      <c r="M545" s="194" t="s">
        <v>185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211"/>
      <c r="AD545" s="211"/>
    </row>
    <row r="546" spans="1:30" ht="15.75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f t="shared" si="40"/>
        <v>41016</v>
      </c>
      <c r="D546" s="191" t="s">
        <v>1593</v>
      </c>
      <c r="E546" s="184">
        <v>41016</v>
      </c>
      <c r="F546" s="189" t="s">
        <v>1211</v>
      </c>
      <c r="G546" s="488" t="s">
        <v>972</v>
      </c>
      <c r="H546" s="193" t="s">
        <v>700</v>
      </c>
      <c r="I546" s="252">
        <v>91</v>
      </c>
      <c r="J546" s="252">
        <v>24875</v>
      </c>
      <c r="K546" s="615">
        <f>ROUND(I546*J546,0)</f>
        <v>2263625</v>
      </c>
      <c r="L546" s="194" t="s">
        <v>284</v>
      </c>
      <c r="M546" s="194" t="s">
        <v>185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211"/>
      <c r="AB546" s="211"/>
      <c r="AC546" s="211"/>
      <c r="AD546" s="211"/>
    </row>
    <row r="547" spans="1:30" ht="15.75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f t="shared" si="40"/>
        <v>41016</v>
      </c>
      <c r="D547" s="191" t="s">
        <v>1593</v>
      </c>
      <c r="E547" s="883">
        <v>41016</v>
      </c>
      <c r="F547" s="192" t="s">
        <v>555</v>
      </c>
      <c r="G547" s="488" t="s">
        <v>972</v>
      </c>
      <c r="H547" s="193" t="s">
        <v>700</v>
      </c>
      <c r="I547" s="252"/>
      <c r="J547" s="252"/>
      <c r="K547" s="615">
        <v>1247063</v>
      </c>
      <c r="L547" s="194" t="s">
        <v>284</v>
      </c>
      <c r="M547" s="194" t="s">
        <v>495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30" ht="15.75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41017</v>
      </c>
      <c r="D548" s="184" t="s">
        <v>413</v>
      </c>
      <c r="E548" s="191">
        <v>41017</v>
      </c>
      <c r="F548" s="192" t="s">
        <v>581</v>
      </c>
      <c r="G548" s="490" t="s">
        <v>691</v>
      </c>
      <c r="H548" s="193" t="s">
        <v>401</v>
      </c>
      <c r="I548" s="252"/>
      <c r="J548" s="252"/>
      <c r="K548" s="615">
        <v>1560000</v>
      </c>
      <c r="L548" s="194" t="s">
        <v>175</v>
      </c>
      <c r="M548" s="194" t="s">
        <v>48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>154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211"/>
      <c r="AC548" s="849"/>
      <c r="AD548" s="849"/>
    </row>
    <row r="549" spans="1:30" ht="15.75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41017</v>
      </c>
      <c r="D549" s="184" t="s">
        <v>413</v>
      </c>
      <c r="E549" s="191">
        <v>41017</v>
      </c>
      <c r="F549" s="192" t="s">
        <v>372</v>
      </c>
      <c r="G549" s="490" t="s">
        <v>691</v>
      </c>
      <c r="H549" s="193" t="s">
        <v>401</v>
      </c>
      <c r="I549" s="252"/>
      <c r="J549" s="252"/>
      <c r="K549" s="615">
        <v>156000</v>
      </c>
      <c r="L549" s="194" t="s">
        <v>9</v>
      </c>
      <c r="M549" s="194" t="s">
        <v>48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606">
        <v>4</v>
      </c>
      <c r="AB549" s="606"/>
      <c r="AC549" s="849"/>
      <c r="AD549" s="849"/>
    </row>
    <row r="550" spans="1:30" ht="15.75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f>E550</f>
        <v>41020</v>
      </c>
      <c r="D550" s="191" t="s">
        <v>1594</v>
      </c>
      <c r="E550" s="184">
        <v>41020</v>
      </c>
      <c r="F550" s="189" t="s">
        <v>1210</v>
      </c>
      <c r="G550" s="488" t="s">
        <v>974</v>
      </c>
      <c r="H550" s="193" t="s">
        <v>596</v>
      </c>
      <c r="I550" s="252">
        <v>400</v>
      </c>
      <c r="J550" s="252">
        <v>2300</v>
      </c>
      <c r="K550" s="615">
        <f>ROUND(I550*J550,0)</f>
        <v>920000</v>
      </c>
      <c r="L550" s="194" t="s">
        <v>284</v>
      </c>
      <c r="M550" s="194" t="s">
        <v>185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211"/>
      <c r="AB550" s="211"/>
      <c r="AC550" s="211"/>
      <c r="AD550" s="211"/>
    </row>
    <row r="551" spans="1:30" ht="15.75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f>E551</f>
        <v>41020</v>
      </c>
      <c r="D551" s="191" t="s">
        <v>1594</v>
      </c>
      <c r="E551" s="883">
        <v>41020</v>
      </c>
      <c r="F551" s="192" t="s">
        <v>555</v>
      </c>
      <c r="G551" s="488" t="s">
        <v>974</v>
      </c>
      <c r="H551" s="193" t="s">
        <v>596</v>
      </c>
      <c r="I551" s="252"/>
      <c r="J551" s="252"/>
      <c r="K551" s="615">
        <v>92000</v>
      </c>
      <c r="L551" s="194" t="s">
        <v>284</v>
      </c>
      <c r="M551" s="194" t="s">
        <v>495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</row>
    <row r="552" spans="1:30" ht="15.75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41022</v>
      </c>
      <c r="D552" s="184" t="s">
        <v>414</v>
      </c>
      <c r="E552" s="191">
        <v>41022</v>
      </c>
      <c r="F552" s="192" t="s">
        <v>692</v>
      </c>
      <c r="G552" s="490" t="s">
        <v>693</v>
      </c>
      <c r="H552" s="193" t="s">
        <v>627</v>
      </c>
      <c r="I552" s="252"/>
      <c r="J552" s="252"/>
      <c r="K552" s="615">
        <v>1040000</v>
      </c>
      <c r="L552" s="194" t="s">
        <v>175</v>
      </c>
      <c r="M552" s="194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>154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211"/>
      <c r="AB552" s="211"/>
      <c r="AC552" s="849"/>
      <c r="AD552" s="849"/>
    </row>
    <row r="553" spans="1:30" ht="15.75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41022</v>
      </c>
      <c r="D553" s="184" t="s">
        <v>414</v>
      </c>
      <c r="E553" s="191">
        <v>41022</v>
      </c>
      <c r="F553" s="192" t="s">
        <v>372</v>
      </c>
      <c r="G553" s="490" t="s">
        <v>693</v>
      </c>
      <c r="H553" s="193" t="s">
        <v>627</v>
      </c>
      <c r="I553" s="254"/>
      <c r="J553" s="254"/>
      <c r="K553" s="615">
        <v>104000</v>
      </c>
      <c r="L553" s="194" t="s">
        <v>9</v>
      </c>
      <c r="M553" s="194" t="s">
        <v>48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606">
        <v>4</v>
      </c>
      <c r="AB553" s="211"/>
      <c r="AC553" s="849"/>
      <c r="AD553" s="849"/>
    </row>
    <row r="554" spans="1:30" ht="15.75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f t="shared" ref="C554:C560" si="41">E554</f>
        <v>41023</v>
      </c>
      <c r="D554" s="191" t="s">
        <v>1595</v>
      </c>
      <c r="E554" s="184">
        <v>41023</v>
      </c>
      <c r="F554" s="189" t="s">
        <v>1209</v>
      </c>
      <c r="G554" s="488" t="s">
        <v>975</v>
      </c>
      <c r="H554" s="193" t="s">
        <v>976</v>
      </c>
      <c r="I554" s="252">
        <v>840</v>
      </c>
      <c r="J554" s="252">
        <v>5960</v>
      </c>
      <c r="K554" s="615">
        <f>ROUND(I554*J554,0)</f>
        <v>5006400</v>
      </c>
      <c r="L554" s="194" t="s">
        <v>284</v>
      </c>
      <c r="M554" s="194" t="s">
        <v>185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211"/>
      <c r="AB554" s="211"/>
      <c r="AC554" s="211"/>
      <c r="AD554" s="211"/>
    </row>
    <row r="555" spans="1:30" ht="15.75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f t="shared" si="41"/>
        <v>41023</v>
      </c>
      <c r="D555" s="191" t="s">
        <v>1595</v>
      </c>
      <c r="E555" s="184">
        <v>41023</v>
      </c>
      <c r="F555" s="189" t="s">
        <v>977</v>
      </c>
      <c r="G555" s="488" t="s">
        <v>975</v>
      </c>
      <c r="H555" s="193" t="s">
        <v>976</v>
      </c>
      <c r="I555" s="252">
        <v>933</v>
      </c>
      <c r="J555" s="252">
        <v>6640</v>
      </c>
      <c r="K555" s="615">
        <f>ROUND(I555*J555,0)</f>
        <v>6195120</v>
      </c>
      <c r="L555" s="194" t="s">
        <v>284</v>
      </c>
      <c r="M555" s="194" t="s">
        <v>185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211"/>
      <c r="AB555" s="211"/>
      <c r="AC555" s="211"/>
      <c r="AD555" s="211"/>
    </row>
    <row r="556" spans="1:30" ht="15.75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f t="shared" si="41"/>
        <v>41023</v>
      </c>
      <c r="D556" s="191" t="s">
        <v>1595</v>
      </c>
      <c r="E556" s="883">
        <v>41023</v>
      </c>
      <c r="F556" s="192" t="s">
        <v>555</v>
      </c>
      <c r="G556" s="488" t="s">
        <v>975</v>
      </c>
      <c r="H556" s="193" t="s">
        <v>976</v>
      </c>
      <c r="I556" s="252"/>
      <c r="J556" s="252"/>
      <c r="K556" s="615">
        <v>1120152</v>
      </c>
      <c r="L556" s="194" t="s">
        <v>284</v>
      </c>
      <c r="M556" s="194" t="s">
        <v>495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30" ht="15.75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f t="shared" si="41"/>
        <v>41023</v>
      </c>
      <c r="D557" s="191" t="s">
        <v>1640</v>
      </c>
      <c r="E557" s="883">
        <v>41023</v>
      </c>
      <c r="F557" s="192" t="s">
        <v>365</v>
      </c>
      <c r="G557" s="488" t="s">
        <v>975</v>
      </c>
      <c r="H557" s="193" t="s">
        <v>976</v>
      </c>
      <c r="I557" s="252"/>
      <c r="J557" s="252"/>
      <c r="K557" s="615">
        <v>12321672</v>
      </c>
      <c r="L557" s="194" t="s">
        <v>48</v>
      </c>
      <c r="M557" s="194" t="s">
        <v>284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</row>
    <row r="558" spans="1:30" ht="15.75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f t="shared" si="41"/>
        <v>41023</v>
      </c>
      <c r="D558" s="191" t="s">
        <v>1596</v>
      </c>
      <c r="E558" s="184">
        <v>41023</v>
      </c>
      <c r="F558" s="189" t="s">
        <v>1208</v>
      </c>
      <c r="G558" s="488" t="s">
        <v>978</v>
      </c>
      <c r="H558" s="7" t="s">
        <v>499</v>
      </c>
      <c r="I558" s="252">
        <v>500</v>
      </c>
      <c r="J558" s="252">
        <v>5800</v>
      </c>
      <c r="K558" s="615">
        <f>ROUND(I558*J558,0)</f>
        <v>2900000</v>
      </c>
      <c r="L558" s="194" t="s">
        <v>284</v>
      </c>
      <c r="M558" s="194" t="s">
        <v>185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211"/>
      <c r="AC558" s="211"/>
      <c r="AD558" s="211"/>
    </row>
    <row r="559" spans="1:30" ht="15.75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f t="shared" si="41"/>
        <v>41023</v>
      </c>
      <c r="D559" s="191" t="s">
        <v>1596</v>
      </c>
      <c r="E559" s="883">
        <v>41023</v>
      </c>
      <c r="F559" s="192" t="s">
        <v>555</v>
      </c>
      <c r="G559" s="488" t="s">
        <v>978</v>
      </c>
      <c r="H559" s="7" t="s">
        <v>499</v>
      </c>
      <c r="I559" s="252"/>
      <c r="J559" s="252"/>
      <c r="K559" s="615">
        <v>290000</v>
      </c>
      <c r="L559" s="194" t="s">
        <v>284</v>
      </c>
      <c r="M559" s="194" t="s">
        <v>495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30" ht="15.75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f t="shared" si="41"/>
        <v>41023</v>
      </c>
      <c r="D560" s="191" t="s">
        <v>1641</v>
      </c>
      <c r="E560" s="883">
        <v>41023</v>
      </c>
      <c r="F560" s="192" t="s">
        <v>365</v>
      </c>
      <c r="G560" s="488"/>
      <c r="H560" s="7" t="s">
        <v>499</v>
      </c>
      <c r="I560" s="252"/>
      <c r="J560" s="252"/>
      <c r="K560" s="615">
        <v>3802223</v>
      </c>
      <c r="L560" s="194" t="s">
        <v>48</v>
      </c>
      <c r="M560" s="194" t="s">
        <v>284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30" ht="15.75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363</v>
      </c>
      <c r="E561" s="191">
        <v>41024</v>
      </c>
      <c r="F561" s="192" t="s">
        <v>398</v>
      </c>
      <c r="G561" s="490" t="s">
        <v>361</v>
      </c>
      <c r="H561" s="193"/>
      <c r="I561" s="252"/>
      <c r="J561" s="252"/>
      <c r="K561" s="615">
        <v>53677</v>
      </c>
      <c r="L561" s="194" t="s">
        <v>24</v>
      </c>
      <c r="M561" s="194" t="s">
        <v>40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>x</v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211"/>
      <c r="AC561" s="849"/>
      <c r="AD561" s="849"/>
    </row>
    <row r="562" spans="1:30" ht="15.75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464</v>
      </c>
      <c r="E562" s="191">
        <v>41024</v>
      </c>
      <c r="F562" s="192" t="s">
        <v>1389</v>
      </c>
      <c r="G562" s="490" t="s">
        <v>694</v>
      </c>
      <c r="H562" s="7" t="s">
        <v>436</v>
      </c>
      <c r="I562" s="252">
        <v>100</v>
      </c>
      <c r="J562" s="252">
        <v>8807</v>
      </c>
      <c r="K562" s="38">
        <v>880700</v>
      </c>
      <c r="L562" s="194" t="s">
        <v>169</v>
      </c>
      <c r="M562" s="616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606"/>
      <c r="AB562" s="606"/>
      <c r="AC562" s="849"/>
      <c r="AD562" s="849"/>
    </row>
    <row r="563" spans="1:30" ht="15.75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464</v>
      </c>
      <c r="E563" s="191">
        <v>41024</v>
      </c>
      <c r="F563" s="192" t="s">
        <v>1270</v>
      </c>
      <c r="G563" s="490" t="s">
        <v>694</v>
      </c>
      <c r="H563" s="7" t="s">
        <v>436</v>
      </c>
      <c r="I563" s="252">
        <v>100</v>
      </c>
      <c r="J563" s="252">
        <v>22809</v>
      </c>
      <c r="K563" s="615">
        <v>2280900</v>
      </c>
      <c r="L563" s="194" t="s">
        <v>169</v>
      </c>
      <c r="M563" s="616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606"/>
      <c r="AC563" s="849"/>
      <c r="AD563" s="849"/>
    </row>
    <row r="564" spans="1:30" ht="15.75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464</v>
      </c>
      <c r="E564" s="191">
        <v>41024</v>
      </c>
      <c r="F564" s="192" t="s">
        <v>1271</v>
      </c>
      <c r="G564" s="490" t="s">
        <v>694</v>
      </c>
      <c r="H564" s="7" t="s">
        <v>436</v>
      </c>
      <c r="I564" s="252">
        <v>100</v>
      </c>
      <c r="J564" s="252">
        <v>23210</v>
      </c>
      <c r="K564" s="615">
        <v>2321000</v>
      </c>
      <c r="L564" s="194" t="s">
        <v>169</v>
      </c>
      <c r="M564" s="616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6"/>
      <c r="AB564" s="606"/>
      <c r="AC564" s="849"/>
      <c r="AD564" s="849"/>
    </row>
    <row r="565" spans="1:30" ht="15.75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v>41024</v>
      </c>
      <c r="D565" s="184" t="s">
        <v>464</v>
      </c>
      <c r="E565" s="191">
        <v>41024</v>
      </c>
      <c r="F565" s="192" t="s">
        <v>1272</v>
      </c>
      <c r="G565" s="490" t="s">
        <v>694</v>
      </c>
      <c r="H565" s="7" t="s">
        <v>436</v>
      </c>
      <c r="I565" s="252">
        <v>200</v>
      </c>
      <c r="J565" s="252">
        <v>17067</v>
      </c>
      <c r="K565" s="615">
        <v>3413400</v>
      </c>
      <c r="L565" s="194" t="s">
        <v>169</v>
      </c>
      <c r="M565" s="616" t="s">
        <v>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211"/>
      <c r="AB565" s="606"/>
      <c r="AC565" s="849"/>
      <c r="AD565" s="849"/>
    </row>
    <row r="566" spans="1:30" ht="15.75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v>41024</v>
      </c>
      <c r="D566" s="184" t="s">
        <v>464</v>
      </c>
      <c r="E566" s="191">
        <v>41024</v>
      </c>
      <c r="F566" s="192" t="s">
        <v>1273</v>
      </c>
      <c r="G566" s="490" t="s">
        <v>694</v>
      </c>
      <c r="H566" s="7" t="s">
        <v>436</v>
      </c>
      <c r="I566" s="252">
        <v>104</v>
      </c>
      <c r="J566" s="252">
        <v>22853</v>
      </c>
      <c r="K566" s="615">
        <v>2376712</v>
      </c>
      <c r="L566" s="194" t="s">
        <v>169</v>
      </c>
      <c r="M566" s="616" t="s">
        <v>8</v>
      </c>
      <c r="N566" s="52" t="str">
        <f>IF(AND('331-CT'!$E$7=TH!H566,OR(L566="331",M566="331")),"331",IF(AND(OR(L566="131",M566="131"),H566='131-CT'!$E$7),"131",""))</f>
        <v>331</v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606"/>
      <c r="AB566" s="606"/>
      <c r="AC566" s="849"/>
      <c r="AD566" s="849"/>
    </row>
    <row r="567" spans="1:30" ht="15.75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v>41024</v>
      </c>
      <c r="D567" s="184" t="s">
        <v>464</v>
      </c>
      <c r="E567" s="191">
        <v>41024</v>
      </c>
      <c r="F567" s="192" t="s">
        <v>1274</v>
      </c>
      <c r="G567" s="490" t="s">
        <v>694</v>
      </c>
      <c r="H567" s="7" t="s">
        <v>436</v>
      </c>
      <c r="I567" s="252">
        <v>66</v>
      </c>
      <c r="J567" s="252">
        <v>20933</v>
      </c>
      <c r="K567" s="615">
        <v>1381578</v>
      </c>
      <c r="L567" s="194" t="s">
        <v>169</v>
      </c>
      <c r="M567" s="616" t="s">
        <v>8</v>
      </c>
      <c r="N567" s="52" t="str">
        <f>IF(AND('331-CT'!$E$7=TH!H567,OR(L567="331",M567="331")),"331",IF(AND(OR(L567="131",M567="131"),H567='131-CT'!$E$7),"131",""))</f>
        <v>331</v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606"/>
      <c r="AC567" s="849"/>
      <c r="AD567" s="849"/>
    </row>
    <row r="568" spans="1:30" ht="15.75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v>41024</v>
      </c>
      <c r="D568" s="184" t="s">
        <v>464</v>
      </c>
      <c r="E568" s="191">
        <v>41024</v>
      </c>
      <c r="F568" s="192" t="s">
        <v>1275</v>
      </c>
      <c r="G568" s="490" t="s">
        <v>694</v>
      </c>
      <c r="H568" s="7" t="s">
        <v>436</v>
      </c>
      <c r="I568" s="252">
        <v>66</v>
      </c>
      <c r="J568" s="252">
        <v>17926</v>
      </c>
      <c r="K568" s="615">
        <v>1183116</v>
      </c>
      <c r="L568" s="194" t="s">
        <v>169</v>
      </c>
      <c r="M568" s="616" t="s">
        <v>8</v>
      </c>
      <c r="N568" s="52" t="str">
        <f>IF(AND('331-CT'!$E$7=TH!H568,OR(L568="331",M568="331")),"331",IF(AND(OR(L568="131",M568="131"),H568='131-CT'!$E$7),"131",""))</f>
        <v>331</v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606"/>
      <c r="AB568" s="606"/>
      <c r="AC568" s="849"/>
      <c r="AD568" s="849"/>
    </row>
    <row r="569" spans="1:30" ht="15.75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v>41024</v>
      </c>
      <c r="D569" s="184" t="s">
        <v>464</v>
      </c>
      <c r="E569" s="191">
        <v>41024</v>
      </c>
      <c r="F569" s="192" t="s">
        <v>1276</v>
      </c>
      <c r="G569" s="490" t="s">
        <v>694</v>
      </c>
      <c r="H569" s="7" t="s">
        <v>436</v>
      </c>
      <c r="I569" s="252">
        <v>112</v>
      </c>
      <c r="J569" s="252">
        <v>18818</v>
      </c>
      <c r="K569" s="615">
        <v>2107616</v>
      </c>
      <c r="L569" s="194" t="s">
        <v>169</v>
      </c>
      <c r="M569" s="616" t="s">
        <v>8</v>
      </c>
      <c r="N569" s="52" t="str">
        <f>IF(AND('331-CT'!$E$7=TH!H569,OR(L569="331",M569="331")),"331",IF(AND(OR(L569="131",M569="131"),H569='131-CT'!$E$7),"131",""))</f>
        <v>331</v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606"/>
      <c r="AC569" s="849"/>
      <c r="AD569" s="849"/>
    </row>
    <row r="570" spans="1:30" ht="15.75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v>41024</v>
      </c>
      <c r="D570" s="184" t="s">
        <v>464</v>
      </c>
      <c r="E570" s="191">
        <v>41024</v>
      </c>
      <c r="F570" s="192" t="s">
        <v>566</v>
      </c>
      <c r="G570" s="490" t="s">
        <v>694</v>
      </c>
      <c r="H570" s="7" t="s">
        <v>436</v>
      </c>
      <c r="I570" s="252"/>
      <c r="J570" s="252"/>
      <c r="K570" s="615">
        <v>1594502</v>
      </c>
      <c r="L570" s="194" t="s">
        <v>9</v>
      </c>
      <c r="M570" s="616" t="s">
        <v>8</v>
      </c>
      <c r="N570" s="52" t="str">
        <f>IF(AND('331-CT'!$E$7=TH!H570,OR(L570="331",M570="331")),"331",IF(AND(OR(L570="131",M570="131"),H570='131-CT'!$E$7),"131",""))</f>
        <v>331</v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606">
        <v>4</v>
      </c>
      <c r="AB570" s="211"/>
      <c r="AC570" s="849"/>
      <c r="AD570" s="849"/>
    </row>
    <row r="571" spans="1:30" ht="15.75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v>41024</v>
      </c>
      <c r="D571" s="184" t="s">
        <v>415</v>
      </c>
      <c r="E571" s="191">
        <v>41024</v>
      </c>
      <c r="F571" s="192" t="s">
        <v>400</v>
      </c>
      <c r="G571" s="490" t="s">
        <v>694</v>
      </c>
      <c r="H571" s="7" t="s">
        <v>436</v>
      </c>
      <c r="I571" s="252"/>
      <c r="J571" s="252"/>
      <c r="K571" s="615">
        <v>17539524</v>
      </c>
      <c r="L571" s="616" t="s">
        <v>8</v>
      </c>
      <c r="M571" s="616" t="s">
        <v>48</v>
      </c>
      <c r="N571" s="52" t="str">
        <f>IF(AND('331-CT'!$E$7=TH!H571,OR(L571="331",M571="331")),"331",IF(AND(OR(L571="131",M571="131"),H571='131-CT'!$E$7),"131",""))</f>
        <v>331</v>
      </c>
      <c r="O571" s="52" t="str">
        <f>IF(AND($B571&gt;='111'!$N$11,$B571&lt;='111'!$O$11,OR($L571=$O$7,$M571=$O$7)),"x","")</f>
        <v>x</v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606"/>
      <c r="AB571" s="211"/>
      <c r="AC571" s="849"/>
      <c r="AD571" s="849"/>
    </row>
    <row r="572" spans="1:30" ht="15.75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v>41024</v>
      </c>
      <c r="D572" s="184" t="s">
        <v>465</v>
      </c>
      <c r="E572" s="191">
        <v>41024</v>
      </c>
      <c r="F572" s="192" t="s">
        <v>1390</v>
      </c>
      <c r="G572" s="490" t="s">
        <v>695</v>
      </c>
      <c r="H572" s="7" t="s">
        <v>436</v>
      </c>
      <c r="I572" s="252">
        <v>100</v>
      </c>
      <c r="J572" s="252">
        <v>11866</v>
      </c>
      <c r="K572" s="615">
        <v>1186600</v>
      </c>
      <c r="L572" s="194" t="s">
        <v>169</v>
      </c>
      <c r="M572" s="616" t="s">
        <v>8</v>
      </c>
      <c r="N572" s="52" t="str">
        <f>IF(AND('331-CT'!$E$7=TH!H572,OR(L572="331",M572="331")),"331",IF(AND(OR(L572="131",M572="131"),H572='131-CT'!$E$7),"131",""))</f>
        <v>331</v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698"/>
      <c r="AB572" s="606"/>
      <c r="AC572" s="849"/>
      <c r="AD572" s="849"/>
    </row>
    <row r="573" spans="1:30" ht="15.75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v>41024</v>
      </c>
      <c r="D573" s="184" t="s">
        <v>465</v>
      </c>
      <c r="E573" s="191">
        <v>41024</v>
      </c>
      <c r="F573" s="192" t="s">
        <v>1391</v>
      </c>
      <c r="G573" s="490" t="s">
        <v>695</v>
      </c>
      <c r="H573" s="7" t="s">
        <v>436</v>
      </c>
      <c r="I573" s="252">
        <v>134</v>
      </c>
      <c r="J573" s="252">
        <v>13099</v>
      </c>
      <c r="K573" s="38">
        <v>1755266</v>
      </c>
      <c r="L573" s="194" t="s">
        <v>169</v>
      </c>
      <c r="M573" s="616" t="s">
        <v>8</v>
      </c>
      <c r="N573" s="52" t="str">
        <f>IF(AND('331-CT'!$E$7=TH!H573,OR(L573="331",M573="331")),"331",IF(AND(OR(L573="131",M573="131"),H573='131-CT'!$E$7),"131",""))</f>
        <v>331</v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606"/>
      <c r="AB573" s="606"/>
      <c r="AC573" s="849"/>
      <c r="AD573" s="849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v>41024</v>
      </c>
      <c r="D574" s="184" t="s">
        <v>465</v>
      </c>
      <c r="E574" s="191">
        <v>41024</v>
      </c>
      <c r="F574" s="192" t="s">
        <v>1392</v>
      </c>
      <c r="G574" s="490" t="s">
        <v>695</v>
      </c>
      <c r="H574" s="7" t="s">
        <v>436</v>
      </c>
      <c r="I574" s="252">
        <v>170</v>
      </c>
      <c r="J574" s="252">
        <v>14573</v>
      </c>
      <c r="K574" s="615">
        <v>2477410</v>
      </c>
      <c r="L574" s="194" t="s">
        <v>169</v>
      </c>
      <c r="M574" s="616" t="s">
        <v>8</v>
      </c>
      <c r="N574" s="52" t="str">
        <f>IF(AND('331-CT'!$E$7=TH!H574,OR(L574="331",M574="331")),"331",IF(AND(OR(L574="131",M574="131"),H574='131-CT'!$E$7),"131",""))</f>
        <v>331</v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606"/>
      <c r="AC574" s="849"/>
      <c r="AD574" s="849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v>41024</v>
      </c>
      <c r="D575" s="184" t="s">
        <v>465</v>
      </c>
      <c r="E575" s="191">
        <v>41024</v>
      </c>
      <c r="F575" s="192" t="s">
        <v>1393</v>
      </c>
      <c r="G575" s="490" t="s">
        <v>695</v>
      </c>
      <c r="H575" s="7" t="s">
        <v>436</v>
      </c>
      <c r="I575" s="252">
        <v>50</v>
      </c>
      <c r="J575" s="252">
        <v>15578</v>
      </c>
      <c r="K575" s="615">
        <v>778900</v>
      </c>
      <c r="L575" s="194" t="s">
        <v>169</v>
      </c>
      <c r="M575" s="616" t="s">
        <v>8</v>
      </c>
      <c r="N575" s="52" t="str">
        <f>IF(AND('331-CT'!$E$7=TH!H575,OR(L575="331",M575="331")),"331",IF(AND(OR(L575="131",M575="131"),H575='131-CT'!$E$7),"131",""))</f>
        <v>331</v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606"/>
      <c r="AB575" s="606"/>
      <c r="AC575" s="849"/>
      <c r="AD575" s="849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v>41024</v>
      </c>
      <c r="D576" s="184" t="s">
        <v>465</v>
      </c>
      <c r="E576" s="191">
        <v>41024</v>
      </c>
      <c r="F576" s="192" t="s">
        <v>1277</v>
      </c>
      <c r="G576" s="490" t="s">
        <v>695</v>
      </c>
      <c r="H576" s="7" t="s">
        <v>436</v>
      </c>
      <c r="I576" s="252">
        <v>240</v>
      </c>
      <c r="J576" s="252">
        <v>17072</v>
      </c>
      <c r="K576" s="615">
        <v>4097280</v>
      </c>
      <c r="L576" s="194" t="s">
        <v>169</v>
      </c>
      <c r="M576" s="616" t="s">
        <v>8</v>
      </c>
      <c r="N576" s="52" t="str">
        <f>IF(AND('331-CT'!$E$7=TH!H576,OR(L576="331",M576="331")),"331",IF(AND(OR(L576="131",M576="131"),H576='131-CT'!$E$7),"131",""))</f>
        <v>331</v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606"/>
      <c r="AC576" s="849"/>
      <c r="AD576" s="849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v>41024</v>
      </c>
      <c r="D577" s="184" t="s">
        <v>465</v>
      </c>
      <c r="E577" s="191">
        <v>41024</v>
      </c>
      <c r="F577" s="192" t="s">
        <v>1278</v>
      </c>
      <c r="G577" s="490" t="s">
        <v>695</v>
      </c>
      <c r="H577" s="7" t="s">
        <v>436</v>
      </c>
      <c r="I577" s="252">
        <v>65</v>
      </c>
      <c r="J577" s="252">
        <v>16878</v>
      </c>
      <c r="K577" s="615">
        <v>1097070</v>
      </c>
      <c r="L577" s="194" t="s">
        <v>169</v>
      </c>
      <c r="M577" s="616" t="s">
        <v>8</v>
      </c>
      <c r="N577" s="52" t="str">
        <f>IF(AND('331-CT'!$E$7=TH!H577,OR(L577="331",M577="331")),"331",IF(AND(OR(L577="131",M577="131"),H577='131-CT'!$E$7),"131",""))</f>
        <v>331</v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606"/>
      <c r="AB577" s="606"/>
      <c r="AC577" s="849"/>
      <c r="AD577" s="849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v>41024</v>
      </c>
      <c r="D578" s="184" t="s">
        <v>465</v>
      </c>
      <c r="E578" s="191">
        <v>41024</v>
      </c>
      <c r="F578" s="192" t="s">
        <v>1279</v>
      </c>
      <c r="G578" s="490" t="s">
        <v>695</v>
      </c>
      <c r="H578" s="7" t="s">
        <v>436</v>
      </c>
      <c r="I578" s="252">
        <v>104</v>
      </c>
      <c r="J578" s="252">
        <v>19759</v>
      </c>
      <c r="K578" s="615">
        <v>2054936</v>
      </c>
      <c r="L578" s="194" t="s">
        <v>169</v>
      </c>
      <c r="M578" s="616" t="s">
        <v>8</v>
      </c>
      <c r="N578" s="52" t="str">
        <f>IF(AND('331-CT'!$E$7=TH!H578,OR(L578="331",M578="331")),"331",IF(AND(OR(L578="131",M578="131"),H578='131-CT'!$E$7),"131",""))</f>
        <v>331</v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606"/>
      <c r="AC578" s="849"/>
      <c r="AD578" s="849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v>41024</v>
      </c>
      <c r="D579" s="184" t="s">
        <v>465</v>
      </c>
      <c r="E579" s="191">
        <v>41024</v>
      </c>
      <c r="F579" s="192" t="s">
        <v>1280</v>
      </c>
      <c r="G579" s="490" t="s">
        <v>695</v>
      </c>
      <c r="H579" s="7" t="s">
        <v>436</v>
      </c>
      <c r="I579" s="252">
        <v>214</v>
      </c>
      <c r="J579" s="252">
        <v>24095</v>
      </c>
      <c r="K579" s="615">
        <v>5156330</v>
      </c>
      <c r="L579" s="194" t="s">
        <v>169</v>
      </c>
      <c r="M579" s="616" t="s">
        <v>8</v>
      </c>
      <c r="N579" s="52" t="str">
        <f>IF(AND('331-CT'!$E$7=TH!H579,OR(L579="331",M579="331")),"331",IF(AND(OR(L579="131",M579="131"),H579='131-CT'!$E$7),"131",""))</f>
        <v>331</v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606"/>
      <c r="AB579" s="606"/>
      <c r="AC579" s="849"/>
      <c r="AD579" s="849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39"/>
        <v>4</v>
      </c>
      <c r="C580" s="191">
        <v>41024</v>
      </c>
      <c r="D580" s="184" t="s">
        <v>465</v>
      </c>
      <c r="E580" s="191">
        <v>41024</v>
      </c>
      <c r="F580" s="192" t="s">
        <v>566</v>
      </c>
      <c r="G580" s="490" t="s">
        <v>695</v>
      </c>
      <c r="H580" s="7" t="s">
        <v>436</v>
      </c>
      <c r="I580" s="252"/>
      <c r="J580" s="252"/>
      <c r="K580" s="615">
        <v>1860379</v>
      </c>
      <c r="L580" s="194" t="s">
        <v>9</v>
      </c>
      <c r="M580" s="616" t="s">
        <v>8</v>
      </c>
      <c r="N580" s="52" t="str">
        <f>IF(AND('331-CT'!$E$7=TH!H580,OR(L580="331",M580="331")),"331",IF(AND(OR(L580="131",M580="131"),H580='131-CT'!$E$7),"131",""))</f>
        <v>331</v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606">
        <v>4</v>
      </c>
      <c r="AB580" s="211"/>
      <c r="AC580" s="849"/>
      <c r="AD580" s="849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39"/>
        <v>4</v>
      </c>
      <c r="C581" s="191">
        <f t="shared" ref="C581:C607" si="42">E581</f>
        <v>41024</v>
      </c>
      <c r="D581" s="184" t="s">
        <v>416</v>
      </c>
      <c r="E581" s="191">
        <v>41024</v>
      </c>
      <c r="F581" s="192" t="s">
        <v>400</v>
      </c>
      <c r="G581" s="490" t="s">
        <v>695</v>
      </c>
      <c r="H581" s="7" t="s">
        <v>436</v>
      </c>
      <c r="I581" s="252"/>
      <c r="J581" s="252"/>
      <c r="K581" s="615">
        <v>10000000</v>
      </c>
      <c r="L581" s="616" t="s">
        <v>8</v>
      </c>
      <c r="M581" s="616" t="s">
        <v>48</v>
      </c>
      <c r="N581" s="52" t="str">
        <f>IF(AND('331-CT'!$E$7=TH!H581,OR(L581="331",M581="331")),"331",IF(AND(OR(L581="131",M581="131"),H581='131-CT'!$E$7),"131",""))</f>
        <v>331</v>
      </c>
      <c r="O581" s="52" t="str">
        <f>IF(AND($B581&gt;='111'!$N$11,$B581&lt;='111'!$O$11,OR($L581=$O$7,$M581=$O$7)),"x","")</f>
        <v>x</v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606"/>
      <c r="AB581" s="211"/>
      <c r="AC581" s="849"/>
      <c r="AD581" s="849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39"/>
        <v>4</v>
      </c>
      <c r="C582" s="191">
        <f t="shared" si="42"/>
        <v>41025</v>
      </c>
      <c r="D582" s="191" t="s">
        <v>1597</v>
      </c>
      <c r="E582" s="184">
        <v>41025</v>
      </c>
      <c r="F582" s="189" t="s">
        <v>1069</v>
      </c>
      <c r="G582" s="488" t="s">
        <v>979</v>
      </c>
      <c r="H582" s="193" t="s">
        <v>948</v>
      </c>
      <c r="I582" s="252">
        <v>190</v>
      </c>
      <c r="J582" s="252">
        <v>6585</v>
      </c>
      <c r="K582" s="615">
        <f>ROUND(I582*J582,0)</f>
        <v>1251150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39"/>
        <v>4</v>
      </c>
      <c r="C583" s="191">
        <f t="shared" si="42"/>
        <v>41025</v>
      </c>
      <c r="D583" s="191" t="s">
        <v>1597</v>
      </c>
      <c r="E583" s="184">
        <v>41025</v>
      </c>
      <c r="F583" s="189" t="s">
        <v>1070</v>
      </c>
      <c r="G583" s="488" t="s">
        <v>979</v>
      </c>
      <c r="H583" s="193" t="s">
        <v>948</v>
      </c>
      <c r="I583" s="252">
        <v>712</v>
      </c>
      <c r="J583" s="252">
        <v>6700</v>
      </c>
      <c r="K583" s="615">
        <f>ROUND(I583*J583,0)</f>
        <v>4770400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39"/>
        <v>4</v>
      </c>
      <c r="C584" s="191">
        <f t="shared" si="42"/>
        <v>41025</v>
      </c>
      <c r="D584" s="191" t="s">
        <v>1597</v>
      </c>
      <c r="E584" s="883">
        <v>41025</v>
      </c>
      <c r="F584" s="192" t="s">
        <v>555</v>
      </c>
      <c r="G584" s="488" t="s">
        <v>979</v>
      </c>
      <c r="H584" s="193" t="s">
        <v>948</v>
      </c>
      <c r="I584" s="252"/>
      <c r="J584" s="252"/>
      <c r="K584" s="615">
        <v>602155</v>
      </c>
      <c r="L584" s="194" t="s">
        <v>284</v>
      </c>
      <c r="M584" s="194" t="s">
        <v>495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39"/>
        <v>4</v>
      </c>
      <c r="C585" s="191">
        <f t="shared" si="42"/>
        <v>41025</v>
      </c>
      <c r="D585" s="191" t="s">
        <v>1642</v>
      </c>
      <c r="E585" s="883">
        <v>41025</v>
      </c>
      <c r="F585" s="192" t="s">
        <v>365</v>
      </c>
      <c r="G585" s="488" t="s">
        <v>979</v>
      </c>
      <c r="H585" s="193" t="s">
        <v>948</v>
      </c>
      <c r="I585" s="252"/>
      <c r="J585" s="252"/>
      <c r="K585" s="615">
        <v>6623705</v>
      </c>
      <c r="L585" s="194" t="s">
        <v>48</v>
      </c>
      <c r="M585" s="194" t="s">
        <v>284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>x</v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39"/>
        <v>4</v>
      </c>
      <c r="C586" s="191">
        <f t="shared" si="42"/>
        <v>41025</v>
      </c>
      <c r="D586" s="191" t="s">
        <v>1598</v>
      </c>
      <c r="E586" s="899">
        <v>41025</v>
      </c>
      <c r="F586" s="192" t="s">
        <v>1478</v>
      </c>
      <c r="G586" s="898" t="s">
        <v>1566</v>
      </c>
      <c r="H586" s="193" t="s">
        <v>497</v>
      </c>
      <c r="I586" s="252">
        <v>75</v>
      </c>
      <c r="J586" s="252">
        <v>44600</v>
      </c>
      <c r="K586" s="615">
        <f t="shared" ref="K586:K595" si="43">ROUND(I586*J586,0)</f>
        <v>3345000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39"/>
        <v>4</v>
      </c>
      <c r="C587" s="191">
        <f t="shared" si="42"/>
        <v>41025</v>
      </c>
      <c r="D587" s="191" t="s">
        <v>1598</v>
      </c>
      <c r="E587" s="899">
        <v>41025</v>
      </c>
      <c r="F587" s="192" t="s">
        <v>1479</v>
      </c>
      <c r="G587" s="898" t="s">
        <v>1566</v>
      </c>
      <c r="H587" s="193" t="s">
        <v>497</v>
      </c>
      <c r="I587" s="252">
        <v>150</v>
      </c>
      <c r="J587" s="252">
        <v>24800</v>
      </c>
      <c r="K587" s="615">
        <f t="shared" si="43"/>
        <v>3720000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39"/>
        <v>4</v>
      </c>
      <c r="C588" s="191">
        <f t="shared" si="42"/>
        <v>41025</v>
      </c>
      <c r="D588" s="191" t="s">
        <v>1598</v>
      </c>
      <c r="E588" s="899">
        <v>41025</v>
      </c>
      <c r="F588" s="192" t="s">
        <v>1480</v>
      </c>
      <c r="G588" s="898" t="s">
        <v>1566</v>
      </c>
      <c r="H588" s="193" t="s">
        <v>497</v>
      </c>
      <c r="I588" s="252">
        <v>100</v>
      </c>
      <c r="J588" s="252">
        <v>51500</v>
      </c>
      <c r="K588" s="615">
        <f t="shared" si="43"/>
        <v>5150000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39"/>
        <v>4</v>
      </c>
      <c r="C589" s="191">
        <f t="shared" si="42"/>
        <v>41025</v>
      </c>
      <c r="D589" s="191" t="s">
        <v>1598</v>
      </c>
      <c r="E589" s="899">
        <v>41025</v>
      </c>
      <c r="F589" s="192" t="s">
        <v>1481</v>
      </c>
      <c r="G589" s="898" t="s">
        <v>1566</v>
      </c>
      <c r="H589" s="193" t="s">
        <v>497</v>
      </c>
      <c r="I589" s="252">
        <v>140</v>
      </c>
      <c r="J589" s="252">
        <v>36500</v>
      </c>
      <c r="K589" s="615">
        <f t="shared" si="43"/>
        <v>5110000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39"/>
        <v>4</v>
      </c>
      <c r="C590" s="191">
        <f t="shared" si="42"/>
        <v>41025</v>
      </c>
      <c r="D590" s="191" t="s">
        <v>1598</v>
      </c>
      <c r="E590" s="899">
        <v>41025</v>
      </c>
      <c r="F590" s="192" t="s">
        <v>1482</v>
      </c>
      <c r="G590" s="898" t="s">
        <v>1566</v>
      </c>
      <c r="H590" s="193" t="s">
        <v>497</v>
      </c>
      <c r="I590" s="252">
        <v>210</v>
      </c>
      <c r="J590" s="252">
        <v>27700</v>
      </c>
      <c r="K590" s="615">
        <f t="shared" si="43"/>
        <v>5817000</v>
      </c>
      <c r="L590" s="194" t="s">
        <v>284</v>
      </c>
      <c r="M590" s="194" t="s">
        <v>185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211"/>
      <c r="AB590" s="211"/>
      <c r="AC590" s="211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39"/>
        <v>4</v>
      </c>
      <c r="C591" s="191">
        <f t="shared" si="42"/>
        <v>41025</v>
      </c>
      <c r="D591" s="191" t="s">
        <v>1598</v>
      </c>
      <c r="E591" s="899">
        <v>41025</v>
      </c>
      <c r="F591" s="192" t="s">
        <v>1483</v>
      </c>
      <c r="G591" s="898" t="s">
        <v>1566</v>
      </c>
      <c r="H591" s="193" t="s">
        <v>497</v>
      </c>
      <c r="I591" s="252">
        <v>328</v>
      </c>
      <c r="J591" s="252">
        <v>18800</v>
      </c>
      <c r="K591" s="615">
        <f t="shared" si="43"/>
        <v>6166400</v>
      </c>
      <c r="L591" s="194" t="s">
        <v>284</v>
      </c>
      <c r="M591" s="194" t="s">
        <v>185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211"/>
      <c r="AC591" s="211"/>
      <c r="AD591" s="211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39"/>
        <v>4</v>
      </c>
      <c r="C592" s="191">
        <f t="shared" si="42"/>
        <v>41025</v>
      </c>
      <c r="D592" s="191" t="s">
        <v>1598</v>
      </c>
      <c r="E592" s="899">
        <v>41025</v>
      </c>
      <c r="F592" s="192" t="s">
        <v>1111</v>
      </c>
      <c r="G592" s="898" t="s">
        <v>1566</v>
      </c>
      <c r="H592" s="193" t="s">
        <v>497</v>
      </c>
      <c r="I592" s="252">
        <v>500</v>
      </c>
      <c r="J592" s="252">
        <v>1200</v>
      </c>
      <c r="K592" s="615">
        <f t="shared" si="43"/>
        <v>600000</v>
      </c>
      <c r="L592" s="194" t="s">
        <v>284</v>
      </c>
      <c r="M592" s="194" t="s">
        <v>185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211"/>
      <c r="AC592" s="211"/>
      <c r="AD592" s="211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39"/>
        <v>4</v>
      </c>
      <c r="C593" s="191">
        <f t="shared" si="42"/>
        <v>41025</v>
      </c>
      <c r="D593" s="191" t="s">
        <v>1598</v>
      </c>
      <c r="E593" s="899">
        <v>41025</v>
      </c>
      <c r="F593" s="192" t="s">
        <v>1484</v>
      </c>
      <c r="G593" s="898" t="s">
        <v>1566</v>
      </c>
      <c r="H593" s="193" t="s">
        <v>497</v>
      </c>
      <c r="I593" s="252">
        <v>150</v>
      </c>
      <c r="J593" s="252">
        <v>36700</v>
      </c>
      <c r="K593" s="615">
        <f t="shared" si="43"/>
        <v>5505000</v>
      </c>
      <c r="L593" s="194" t="s">
        <v>284</v>
      </c>
      <c r="M593" s="194" t="s">
        <v>185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39"/>
        <v>4</v>
      </c>
      <c r="C594" s="191">
        <f t="shared" si="42"/>
        <v>41025</v>
      </c>
      <c r="D594" s="191" t="s">
        <v>1598</v>
      </c>
      <c r="E594" s="899">
        <v>41025</v>
      </c>
      <c r="F594" s="192" t="s">
        <v>1485</v>
      </c>
      <c r="G594" s="898" t="s">
        <v>1566</v>
      </c>
      <c r="H594" s="193" t="s">
        <v>497</v>
      </c>
      <c r="I594" s="252">
        <v>240</v>
      </c>
      <c r="J594" s="252">
        <v>2900</v>
      </c>
      <c r="K594" s="615">
        <f t="shared" si="43"/>
        <v>696000</v>
      </c>
      <c r="L594" s="194" t="s">
        <v>284</v>
      </c>
      <c r="M594" s="194" t="s">
        <v>185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211"/>
      <c r="AC594" s="211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39"/>
        <v>4</v>
      </c>
      <c r="C595" s="191">
        <f t="shared" si="42"/>
        <v>41025</v>
      </c>
      <c r="D595" s="191" t="s">
        <v>1598</v>
      </c>
      <c r="E595" s="899">
        <v>41025</v>
      </c>
      <c r="F595" s="192" t="s">
        <v>1112</v>
      </c>
      <c r="G595" s="898" t="s">
        <v>1566</v>
      </c>
      <c r="H595" s="193" t="s">
        <v>497</v>
      </c>
      <c r="I595" s="252">
        <v>4096</v>
      </c>
      <c r="J595" s="252">
        <v>124.999</v>
      </c>
      <c r="K595" s="615">
        <f t="shared" si="43"/>
        <v>511996</v>
      </c>
      <c r="L595" s="194" t="s">
        <v>284</v>
      </c>
      <c r="M595" s="194" t="s">
        <v>185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39"/>
        <v>4</v>
      </c>
      <c r="C596" s="191">
        <f t="shared" si="42"/>
        <v>41025</v>
      </c>
      <c r="D596" s="191" t="s">
        <v>1598</v>
      </c>
      <c r="E596" s="899">
        <v>41025</v>
      </c>
      <c r="F596" s="192" t="s">
        <v>555</v>
      </c>
      <c r="G596" s="898" t="s">
        <v>1566</v>
      </c>
      <c r="H596" s="193" t="s">
        <v>497</v>
      </c>
      <c r="I596" s="252"/>
      <c r="J596" s="252"/>
      <c r="K596" s="615">
        <v>3662140</v>
      </c>
      <c r="L596" s="194" t="s">
        <v>284</v>
      </c>
      <c r="M596" s="194" t="s">
        <v>495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B596" s="906"/>
      <c r="AC596" s="906">
        <f>AB596-SUM(K586:K595)</f>
        <v>-36621396</v>
      </c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ref="B597:B660" si="44">IF(C597&lt;&gt;"",MONTH(C597),"")</f>
        <v>4</v>
      </c>
      <c r="C597" s="191">
        <f t="shared" si="42"/>
        <v>41025</v>
      </c>
      <c r="D597" s="191" t="s">
        <v>1599</v>
      </c>
      <c r="E597" s="899">
        <v>41025</v>
      </c>
      <c r="F597" s="192" t="s">
        <v>1535</v>
      </c>
      <c r="G597" s="490" t="s">
        <v>1010</v>
      </c>
      <c r="H597" s="7" t="s">
        <v>496</v>
      </c>
      <c r="I597" s="252">
        <v>250</v>
      </c>
      <c r="J597" s="252">
        <v>15949</v>
      </c>
      <c r="K597" s="38">
        <f t="shared" ref="K597:K606" si="45">ROUND(I597*J597,0)</f>
        <v>3987250</v>
      </c>
      <c r="L597" s="194" t="s">
        <v>284</v>
      </c>
      <c r="M597" s="194" t="s">
        <v>185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211"/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f t="shared" si="42"/>
        <v>41025</v>
      </c>
      <c r="D598" s="191" t="s">
        <v>1599</v>
      </c>
      <c r="E598" s="899">
        <v>41025</v>
      </c>
      <c r="F598" s="192" t="s">
        <v>1496</v>
      </c>
      <c r="G598" s="490" t="s">
        <v>1010</v>
      </c>
      <c r="H598" s="7" t="s">
        <v>496</v>
      </c>
      <c r="I598" s="252">
        <v>450</v>
      </c>
      <c r="J598" s="252">
        <v>15362</v>
      </c>
      <c r="K598" s="38">
        <f t="shared" si="45"/>
        <v>6912900</v>
      </c>
      <c r="L598" s="194" t="s">
        <v>284</v>
      </c>
      <c r="M598" s="194" t="s">
        <v>185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211"/>
      <c r="AC598" s="211"/>
      <c r="AD598" s="211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f t="shared" si="42"/>
        <v>41025</v>
      </c>
      <c r="D599" s="191" t="s">
        <v>1599</v>
      </c>
      <c r="E599" s="899">
        <v>41025</v>
      </c>
      <c r="F599" s="192" t="s">
        <v>1510</v>
      </c>
      <c r="G599" s="490" t="s">
        <v>1010</v>
      </c>
      <c r="H599" s="7" t="s">
        <v>496</v>
      </c>
      <c r="I599" s="252">
        <v>330</v>
      </c>
      <c r="J599" s="252">
        <v>15968</v>
      </c>
      <c r="K599" s="38">
        <f t="shared" si="45"/>
        <v>5269440</v>
      </c>
      <c r="L599" s="194" t="s">
        <v>284</v>
      </c>
      <c r="M599" s="194" t="s">
        <v>185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B599" s="211"/>
      <c r="AC599" s="211"/>
      <c r="AD599" s="211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f t="shared" si="42"/>
        <v>41025</v>
      </c>
      <c r="D600" s="191" t="s">
        <v>1599</v>
      </c>
      <c r="E600" s="899">
        <v>41025</v>
      </c>
      <c r="F600" s="192" t="s">
        <v>1526</v>
      </c>
      <c r="G600" s="490" t="s">
        <v>1010</v>
      </c>
      <c r="H600" s="7" t="s">
        <v>496</v>
      </c>
      <c r="I600" s="252">
        <v>220</v>
      </c>
      <c r="J600" s="252">
        <v>16741.776999999998</v>
      </c>
      <c r="K600" s="38">
        <f t="shared" si="45"/>
        <v>3683191</v>
      </c>
      <c r="L600" s="194" t="s">
        <v>284</v>
      </c>
      <c r="M600" s="194" t="s">
        <v>185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211"/>
      <c r="AC600" s="211"/>
      <c r="AD600" s="211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f t="shared" si="42"/>
        <v>41025</v>
      </c>
      <c r="D601" s="191" t="s">
        <v>1599</v>
      </c>
      <c r="E601" s="899">
        <v>41025</v>
      </c>
      <c r="F601" s="192" t="s">
        <v>1538</v>
      </c>
      <c r="G601" s="490" t="s">
        <v>1010</v>
      </c>
      <c r="H601" s="7" t="s">
        <v>496</v>
      </c>
      <c r="I601" s="252">
        <v>486</v>
      </c>
      <c r="J601" s="252">
        <v>19434</v>
      </c>
      <c r="K601" s="38">
        <f t="shared" si="45"/>
        <v>9444924</v>
      </c>
      <c r="L601" s="194" t="s">
        <v>284</v>
      </c>
      <c r="M601" s="194" t="s">
        <v>185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211"/>
      <c r="AC601" s="211"/>
      <c r="AD601" s="211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f t="shared" si="42"/>
        <v>41025</v>
      </c>
      <c r="D602" s="191" t="s">
        <v>1599</v>
      </c>
      <c r="E602" s="899">
        <v>41025</v>
      </c>
      <c r="F602" s="192" t="s">
        <v>1513</v>
      </c>
      <c r="G602" s="490" t="s">
        <v>1010</v>
      </c>
      <c r="H602" s="7" t="s">
        <v>496</v>
      </c>
      <c r="I602" s="252">
        <v>391</v>
      </c>
      <c r="J602" s="252">
        <v>16451</v>
      </c>
      <c r="K602" s="38">
        <f t="shared" si="45"/>
        <v>6432341</v>
      </c>
      <c r="L602" s="194" t="s">
        <v>284</v>
      </c>
      <c r="M602" s="194" t="s">
        <v>185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211"/>
      <c r="AC602" s="211"/>
      <c r="AD602" s="211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f t="shared" si="42"/>
        <v>41025</v>
      </c>
      <c r="D603" s="191" t="s">
        <v>1599</v>
      </c>
      <c r="E603" s="899">
        <v>41025</v>
      </c>
      <c r="F603" s="192" t="s">
        <v>1532</v>
      </c>
      <c r="G603" s="490" t="s">
        <v>1010</v>
      </c>
      <c r="H603" s="7" t="s">
        <v>496</v>
      </c>
      <c r="I603" s="252">
        <v>339</v>
      </c>
      <c r="J603" s="252">
        <v>25702</v>
      </c>
      <c r="K603" s="38">
        <f t="shared" si="45"/>
        <v>8712978</v>
      </c>
      <c r="L603" s="194" t="s">
        <v>284</v>
      </c>
      <c r="M603" s="194" t="s">
        <v>185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211"/>
      <c r="AC603" s="211"/>
      <c r="AD603" s="211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f t="shared" si="42"/>
        <v>41025</v>
      </c>
      <c r="D604" s="191" t="s">
        <v>1599</v>
      </c>
      <c r="E604" s="899">
        <v>41025</v>
      </c>
      <c r="F604" s="192" t="s">
        <v>1516</v>
      </c>
      <c r="G604" s="490" t="s">
        <v>1010</v>
      </c>
      <c r="H604" s="7" t="s">
        <v>496</v>
      </c>
      <c r="I604" s="252">
        <v>366</v>
      </c>
      <c r="J604" s="252">
        <v>19372</v>
      </c>
      <c r="K604" s="38">
        <f t="shared" si="45"/>
        <v>7090152</v>
      </c>
      <c r="L604" s="194" t="s">
        <v>284</v>
      </c>
      <c r="M604" s="194" t="s">
        <v>185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211"/>
      <c r="AC604" s="211"/>
      <c r="AD604" s="211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91">
        <f t="shared" si="42"/>
        <v>41025</v>
      </c>
      <c r="D605" s="191" t="s">
        <v>1599</v>
      </c>
      <c r="E605" s="899">
        <v>41025</v>
      </c>
      <c r="F605" s="192" t="s">
        <v>1523</v>
      </c>
      <c r="G605" s="490" t="s">
        <v>1010</v>
      </c>
      <c r="H605" s="7" t="s">
        <v>496</v>
      </c>
      <c r="I605" s="252">
        <v>265</v>
      </c>
      <c r="J605" s="252">
        <v>15158</v>
      </c>
      <c r="K605" s="38">
        <f t="shared" si="45"/>
        <v>4016870</v>
      </c>
      <c r="L605" s="194" t="s">
        <v>284</v>
      </c>
      <c r="M605" s="194" t="s">
        <v>185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211"/>
      <c r="AC605" s="211"/>
      <c r="AD605" s="211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91">
        <f t="shared" si="42"/>
        <v>41025</v>
      </c>
      <c r="D606" s="191" t="s">
        <v>1599</v>
      </c>
      <c r="E606" s="899">
        <v>41025</v>
      </c>
      <c r="F606" s="192" t="s">
        <v>1524</v>
      </c>
      <c r="G606" s="490" t="s">
        <v>1010</v>
      </c>
      <c r="H606" s="7" t="s">
        <v>496</v>
      </c>
      <c r="I606" s="252">
        <v>460</v>
      </c>
      <c r="J606" s="252">
        <v>21517</v>
      </c>
      <c r="K606" s="38">
        <f t="shared" si="45"/>
        <v>9897820</v>
      </c>
      <c r="L606" s="194" t="s">
        <v>284</v>
      </c>
      <c r="M606" s="194" t="s">
        <v>185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211"/>
      <c r="AC606" s="211"/>
      <c r="AD606" s="211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91">
        <f t="shared" si="42"/>
        <v>41025</v>
      </c>
      <c r="D607" s="191" t="s">
        <v>1599</v>
      </c>
      <c r="E607" s="883">
        <v>41025</v>
      </c>
      <c r="F607" s="192" t="s">
        <v>555</v>
      </c>
      <c r="G607" s="488" t="s">
        <v>1567</v>
      </c>
      <c r="H607" s="7" t="s">
        <v>496</v>
      </c>
      <c r="I607" s="252"/>
      <c r="J607" s="252"/>
      <c r="K607" s="615">
        <v>6544787</v>
      </c>
      <c r="L607" s="194" t="s">
        <v>284</v>
      </c>
      <c r="M607" s="194" t="s">
        <v>495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906"/>
      <c r="AC607" s="906">
        <f>AB607-SUM(K597:K606)</f>
        <v>-65447866</v>
      </c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91">
        <v>41027</v>
      </c>
      <c r="D608" s="184" t="s">
        <v>466</v>
      </c>
      <c r="E608" s="191">
        <v>41027</v>
      </c>
      <c r="F608" s="192" t="s">
        <v>1394</v>
      </c>
      <c r="G608" s="490" t="s">
        <v>696</v>
      </c>
      <c r="H608" s="7" t="s">
        <v>436</v>
      </c>
      <c r="I608" s="255">
        <v>350</v>
      </c>
      <c r="J608" s="255">
        <v>19819</v>
      </c>
      <c r="K608" s="615">
        <v>6936650</v>
      </c>
      <c r="L608" s="194" t="s">
        <v>169</v>
      </c>
      <c r="M608" s="616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211"/>
      <c r="AB608" s="606"/>
      <c r="AC608" s="849"/>
      <c r="AD608" s="849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91">
        <v>41027</v>
      </c>
      <c r="D609" s="184" t="s">
        <v>466</v>
      </c>
      <c r="E609" s="191">
        <v>41027</v>
      </c>
      <c r="F609" s="192" t="s">
        <v>1395</v>
      </c>
      <c r="G609" s="490" t="s">
        <v>696</v>
      </c>
      <c r="H609" s="7" t="s">
        <v>436</v>
      </c>
      <c r="I609" s="252">
        <v>50</v>
      </c>
      <c r="J609" s="252">
        <v>21762</v>
      </c>
      <c r="K609" s="38">
        <v>1088100</v>
      </c>
      <c r="L609" s="194" t="s">
        <v>169</v>
      </c>
      <c r="M609" s="616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606"/>
      <c r="AC609" s="849"/>
      <c r="AD609" s="849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91">
        <v>41027</v>
      </c>
      <c r="D610" s="184" t="s">
        <v>466</v>
      </c>
      <c r="E610" s="191">
        <v>41027</v>
      </c>
      <c r="F610" s="192" t="s">
        <v>1396</v>
      </c>
      <c r="G610" s="490" t="s">
        <v>696</v>
      </c>
      <c r="H610" s="7" t="s">
        <v>436</v>
      </c>
      <c r="I610" s="255">
        <v>290</v>
      </c>
      <c r="J610" s="255">
        <v>19041</v>
      </c>
      <c r="K610" s="615">
        <v>5521890</v>
      </c>
      <c r="L610" s="194" t="s">
        <v>169</v>
      </c>
      <c r="M610" s="616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/>
      <c r="AB610" s="606"/>
      <c r="AC610" s="849"/>
      <c r="AD610" s="849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91">
        <v>41027</v>
      </c>
      <c r="D611" s="184" t="s">
        <v>466</v>
      </c>
      <c r="E611" s="191">
        <v>41027</v>
      </c>
      <c r="F611" s="192" t="s">
        <v>1397</v>
      </c>
      <c r="G611" s="490" t="s">
        <v>696</v>
      </c>
      <c r="H611" s="7" t="s">
        <v>436</v>
      </c>
      <c r="I611" s="252">
        <v>50</v>
      </c>
      <c r="J611" s="252">
        <v>23155</v>
      </c>
      <c r="K611" s="615">
        <v>1157750</v>
      </c>
      <c r="L611" s="194" t="s">
        <v>169</v>
      </c>
      <c r="M611" s="616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606"/>
      <c r="AC611" s="849"/>
      <c r="AD611" s="849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466</v>
      </c>
      <c r="E612" s="191">
        <v>41027</v>
      </c>
      <c r="F612" s="192" t="s">
        <v>1398</v>
      </c>
      <c r="G612" s="490" t="s">
        <v>696</v>
      </c>
      <c r="H612" s="7" t="s">
        <v>436</v>
      </c>
      <c r="I612" s="252">
        <v>100</v>
      </c>
      <c r="J612" s="252">
        <v>12757</v>
      </c>
      <c r="K612" s="615">
        <v>1275700</v>
      </c>
      <c r="L612" s="194" t="s">
        <v>169</v>
      </c>
      <c r="M612" s="616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606"/>
      <c r="AC612" s="849"/>
      <c r="AD612" s="849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466</v>
      </c>
      <c r="E613" s="191">
        <v>41027</v>
      </c>
      <c r="F613" s="192" t="s">
        <v>1281</v>
      </c>
      <c r="G613" s="490" t="s">
        <v>696</v>
      </c>
      <c r="H613" s="7" t="s">
        <v>436</v>
      </c>
      <c r="I613" s="252">
        <v>100</v>
      </c>
      <c r="J613" s="252">
        <v>15976</v>
      </c>
      <c r="K613" s="615">
        <v>1597600</v>
      </c>
      <c r="L613" s="194" t="s">
        <v>169</v>
      </c>
      <c r="M613" s="616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606"/>
      <c r="AC613" s="849"/>
      <c r="AD613" s="849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91">
        <v>41027</v>
      </c>
      <c r="D614" s="184" t="s">
        <v>466</v>
      </c>
      <c r="E614" s="191">
        <v>41027</v>
      </c>
      <c r="F614" s="192" t="s">
        <v>1282</v>
      </c>
      <c r="G614" s="490" t="s">
        <v>696</v>
      </c>
      <c r="H614" s="7" t="s">
        <v>436</v>
      </c>
      <c r="I614" s="252">
        <v>129</v>
      </c>
      <c r="J614" s="252">
        <v>11873</v>
      </c>
      <c r="K614" s="38">
        <v>1531617</v>
      </c>
      <c r="L614" s="194" t="s">
        <v>169</v>
      </c>
      <c r="M614" s="616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606"/>
      <c r="AC614" s="849"/>
      <c r="AD614" s="849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91">
        <v>41027</v>
      </c>
      <c r="D615" s="184" t="s">
        <v>466</v>
      </c>
      <c r="E615" s="833">
        <v>41027</v>
      </c>
      <c r="F615" s="189" t="s">
        <v>1280</v>
      </c>
      <c r="G615" s="490" t="s">
        <v>696</v>
      </c>
      <c r="H615" s="7" t="s">
        <v>436</v>
      </c>
      <c r="I615" s="256">
        <v>110</v>
      </c>
      <c r="J615" s="256">
        <v>24095</v>
      </c>
      <c r="K615" s="615">
        <v>2650450</v>
      </c>
      <c r="L615" s="194" t="s">
        <v>169</v>
      </c>
      <c r="M615" s="616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606"/>
      <c r="AC615" s="849"/>
      <c r="AD615" s="849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91">
        <v>41027</v>
      </c>
      <c r="D616" s="184" t="s">
        <v>466</v>
      </c>
      <c r="E616" s="833">
        <v>41027</v>
      </c>
      <c r="F616" s="189" t="s">
        <v>566</v>
      </c>
      <c r="G616" s="490" t="s">
        <v>696</v>
      </c>
      <c r="H616" s="7" t="s">
        <v>436</v>
      </c>
      <c r="I616" s="252"/>
      <c r="J616" s="252"/>
      <c r="K616" s="615">
        <v>2175976</v>
      </c>
      <c r="L616" s="194" t="s">
        <v>9</v>
      </c>
      <c r="M616" s="616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606">
        <v>4</v>
      </c>
      <c r="AB616" s="211"/>
      <c r="AC616" s="849"/>
      <c r="AD616" s="849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467</v>
      </c>
      <c r="E617" s="833">
        <v>41027</v>
      </c>
      <c r="F617" s="189" t="s">
        <v>1399</v>
      </c>
      <c r="G617" s="490" t="s">
        <v>697</v>
      </c>
      <c r="H617" s="7" t="s">
        <v>436</v>
      </c>
      <c r="I617" s="252">
        <v>250</v>
      </c>
      <c r="J617" s="252">
        <v>8465</v>
      </c>
      <c r="K617" s="38">
        <v>2116250</v>
      </c>
      <c r="L617" s="194" t="s">
        <v>169</v>
      </c>
      <c r="M617" s="616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211"/>
      <c r="AB617" s="606"/>
      <c r="AC617" s="849"/>
      <c r="AD617" s="849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467</v>
      </c>
      <c r="E618" s="191">
        <v>41027</v>
      </c>
      <c r="F618" s="192" t="s">
        <v>1400</v>
      </c>
      <c r="G618" s="488" t="s">
        <v>697</v>
      </c>
      <c r="H618" s="7" t="s">
        <v>436</v>
      </c>
      <c r="I618" s="254">
        <v>350</v>
      </c>
      <c r="J618" s="252">
        <v>16321</v>
      </c>
      <c r="K618" s="38">
        <v>5712350</v>
      </c>
      <c r="L618" s="194" t="s">
        <v>169</v>
      </c>
      <c r="M618" s="616" t="s">
        <v>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211"/>
      <c r="AB618" s="606"/>
      <c r="AC618" s="849"/>
      <c r="AD618" s="849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467</v>
      </c>
      <c r="E619" s="191">
        <v>41027</v>
      </c>
      <c r="F619" s="192" t="s">
        <v>1401</v>
      </c>
      <c r="G619" s="488" t="s">
        <v>697</v>
      </c>
      <c r="H619" s="7" t="s">
        <v>436</v>
      </c>
      <c r="I619" s="254">
        <v>410</v>
      </c>
      <c r="J619" s="252">
        <v>9828</v>
      </c>
      <c r="K619" s="38">
        <v>4029480</v>
      </c>
      <c r="L619" s="194" t="s">
        <v>169</v>
      </c>
      <c r="M619" s="616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211"/>
      <c r="AB619" s="606"/>
      <c r="AC619" s="849"/>
      <c r="AD619" s="849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467</v>
      </c>
      <c r="E620" s="191">
        <v>41027</v>
      </c>
      <c r="F620" s="192" t="s">
        <v>1402</v>
      </c>
      <c r="G620" s="488" t="s">
        <v>697</v>
      </c>
      <c r="H620" s="7" t="s">
        <v>436</v>
      </c>
      <c r="I620" s="254">
        <v>470</v>
      </c>
      <c r="J620" s="252">
        <v>11157</v>
      </c>
      <c r="K620" s="38">
        <v>5243790</v>
      </c>
      <c r="L620" s="194" t="s">
        <v>169</v>
      </c>
      <c r="M620" s="616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606"/>
      <c r="AC620" s="851"/>
      <c r="AD620" s="851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467</v>
      </c>
      <c r="E621" s="191">
        <v>41027</v>
      </c>
      <c r="F621" s="192" t="s">
        <v>1403</v>
      </c>
      <c r="G621" s="488" t="s">
        <v>697</v>
      </c>
      <c r="H621" s="7" t="s">
        <v>436</v>
      </c>
      <c r="I621" s="254">
        <v>150</v>
      </c>
      <c r="J621" s="252">
        <v>10811</v>
      </c>
      <c r="K621" s="38">
        <v>1621650</v>
      </c>
      <c r="L621" s="194" t="s">
        <v>169</v>
      </c>
      <c r="M621" s="616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211"/>
      <c r="AB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84">
        <v>41027</v>
      </c>
      <c r="D622" s="184" t="s">
        <v>467</v>
      </c>
      <c r="E622" s="184">
        <v>41027</v>
      </c>
      <c r="F622" s="189" t="s">
        <v>1283</v>
      </c>
      <c r="G622" s="617" t="s">
        <v>697</v>
      </c>
      <c r="H622" s="7" t="s">
        <v>436</v>
      </c>
      <c r="I622" s="252">
        <v>460</v>
      </c>
      <c r="J622" s="252">
        <v>11150</v>
      </c>
      <c r="K622" s="615">
        <v>5129000</v>
      </c>
      <c r="L622" s="194" t="s">
        <v>169</v>
      </c>
      <c r="M622" s="616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211"/>
      <c r="AB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467</v>
      </c>
      <c r="E623" s="184">
        <v>41027</v>
      </c>
      <c r="F623" s="189" t="s">
        <v>1284</v>
      </c>
      <c r="G623" s="617" t="s">
        <v>697</v>
      </c>
      <c r="H623" s="7" t="s">
        <v>436</v>
      </c>
      <c r="I623" s="252">
        <v>66</v>
      </c>
      <c r="J623" s="252">
        <v>19846</v>
      </c>
      <c r="K623" s="615">
        <v>1309836</v>
      </c>
      <c r="L623" s="194" t="s">
        <v>169</v>
      </c>
      <c r="M623" s="616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211"/>
      <c r="AB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84">
        <v>41027</v>
      </c>
      <c r="D624" s="184" t="s">
        <v>467</v>
      </c>
      <c r="E624" s="184">
        <v>41027</v>
      </c>
      <c r="F624" s="189" t="s">
        <v>1285</v>
      </c>
      <c r="G624" s="617" t="s">
        <v>697</v>
      </c>
      <c r="H624" s="7" t="s">
        <v>436</v>
      </c>
      <c r="I624" s="252">
        <v>240</v>
      </c>
      <c r="J624" s="252">
        <v>21089</v>
      </c>
      <c r="K624" s="615">
        <v>5061360</v>
      </c>
      <c r="L624" s="194" t="s">
        <v>169</v>
      </c>
      <c r="M624" s="616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B624" s="606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84">
        <v>41027</v>
      </c>
      <c r="D625" s="184" t="s">
        <v>467</v>
      </c>
      <c r="E625" s="184">
        <v>41027</v>
      </c>
      <c r="F625" s="189" t="s">
        <v>566</v>
      </c>
      <c r="G625" s="617" t="s">
        <v>697</v>
      </c>
      <c r="H625" s="7" t="s">
        <v>436</v>
      </c>
      <c r="I625" s="252"/>
      <c r="J625" s="252"/>
      <c r="K625" s="615">
        <v>3022372</v>
      </c>
      <c r="L625" s="616" t="s">
        <v>9</v>
      </c>
      <c r="M625" s="616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6">
        <v>4</v>
      </c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84">
        <v>41027</v>
      </c>
      <c r="D626" s="184" t="s">
        <v>468</v>
      </c>
      <c r="E626" s="184">
        <v>41027</v>
      </c>
      <c r="F626" s="189" t="s">
        <v>1404</v>
      </c>
      <c r="G626" s="617" t="s">
        <v>698</v>
      </c>
      <c r="H626" s="7" t="s">
        <v>436</v>
      </c>
      <c r="I626" s="252">
        <v>100</v>
      </c>
      <c r="J626" s="252">
        <v>5928</v>
      </c>
      <c r="K626" s="615">
        <v>592800</v>
      </c>
      <c r="L626" s="194" t="s">
        <v>169</v>
      </c>
      <c r="M626" s="616" t="s">
        <v>8</v>
      </c>
      <c r="N626" s="52" t="str">
        <f>IF(AND('331-CT'!$E$7=TH!H626,OR(L626="331",M626="331")),"331",IF(AND(OR(L626="131",M626="131"),H626='131-CT'!$E$7),"131",""))</f>
        <v>331</v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B626" s="606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84">
        <v>41027</v>
      </c>
      <c r="D627" s="184" t="s">
        <v>468</v>
      </c>
      <c r="E627" s="184">
        <v>41027</v>
      </c>
      <c r="F627" s="189" t="s">
        <v>1405</v>
      </c>
      <c r="G627" s="617" t="s">
        <v>698</v>
      </c>
      <c r="H627" s="7" t="s">
        <v>436</v>
      </c>
      <c r="I627" s="252">
        <v>100</v>
      </c>
      <c r="J627" s="252">
        <v>6413</v>
      </c>
      <c r="K627" s="615">
        <v>641300</v>
      </c>
      <c r="L627" s="194" t="s">
        <v>169</v>
      </c>
      <c r="M627" s="616" t="s">
        <v>8</v>
      </c>
      <c r="N627" s="52" t="str">
        <f>IF(AND('331-CT'!$E$7=TH!H627,OR(L627="331",M627="331")),"331",IF(AND(OR(L627="131",M627="131"),H627='131-CT'!$E$7),"131",""))</f>
        <v>331</v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B627" s="606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84">
        <v>41027</v>
      </c>
      <c r="D628" s="184" t="s">
        <v>468</v>
      </c>
      <c r="E628" s="184">
        <v>41027</v>
      </c>
      <c r="F628" s="189" t="s">
        <v>1406</v>
      </c>
      <c r="G628" s="617" t="s">
        <v>698</v>
      </c>
      <c r="H628" s="7" t="s">
        <v>436</v>
      </c>
      <c r="I628" s="252">
        <v>100</v>
      </c>
      <c r="J628" s="252">
        <v>6783</v>
      </c>
      <c r="K628" s="615">
        <v>678300</v>
      </c>
      <c r="L628" s="194" t="s">
        <v>169</v>
      </c>
      <c r="M628" s="616" t="s">
        <v>8</v>
      </c>
      <c r="N628" s="52" t="str">
        <f>IF(AND('331-CT'!$E$7=TH!H628,OR(L628="331",M628="331")),"331",IF(AND(OR(L628="131",M628="131"),H628='131-CT'!$E$7),"131",""))</f>
        <v>331</v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B628" s="606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v>41027</v>
      </c>
      <c r="D629" s="184" t="s">
        <v>468</v>
      </c>
      <c r="E629" s="191">
        <v>41027</v>
      </c>
      <c r="F629" s="192" t="s">
        <v>1407</v>
      </c>
      <c r="G629" s="490" t="s">
        <v>698</v>
      </c>
      <c r="H629" s="7" t="s">
        <v>436</v>
      </c>
      <c r="I629" s="255">
        <v>50</v>
      </c>
      <c r="J629" s="255">
        <v>10613</v>
      </c>
      <c r="K629" s="38">
        <v>530650</v>
      </c>
      <c r="L629" s="194" t="s">
        <v>169</v>
      </c>
      <c r="M629" s="616" t="s">
        <v>8</v>
      </c>
      <c r="N629" s="52" t="str">
        <f>IF(AND('331-CT'!$E$7=TH!H629,OR(L629="331",M629="331")),"331",IF(AND(OR(L629="131",M629="131"),H629='131-CT'!$E$7),"131",""))</f>
        <v>331</v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B629" s="606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v>41027</v>
      </c>
      <c r="D630" s="184" t="s">
        <v>468</v>
      </c>
      <c r="E630" s="191">
        <v>41027</v>
      </c>
      <c r="F630" s="192" t="s">
        <v>1408</v>
      </c>
      <c r="G630" s="490" t="s">
        <v>698</v>
      </c>
      <c r="H630" s="7" t="s">
        <v>436</v>
      </c>
      <c r="I630" s="255">
        <v>486</v>
      </c>
      <c r="J630" s="255">
        <v>9286</v>
      </c>
      <c r="K630" s="38">
        <v>4512996</v>
      </c>
      <c r="L630" s="194" t="s">
        <v>169</v>
      </c>
      <c r="M630" s="616" t="s">
        <v>8</v>
      </c>
      <c r="N630" s="52" t="str">
        <f>IF(AND('331-CT'!$E$7=TH!H630,OR(L630="331",M630="331")),"331",IF(AND(OR(L630="131",M630="131"),H630='131-CT'!$E$7),"131",""))</f>
        <v>331</v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B630" s="606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84">
        <v>41027</v>
      </c>
      <c r="D631" s="184" t="s">
        <v>468</v>
      </c>
      <c r="E631" s="184">
        <v>41027</v>
      </c>
      <c r="F631" s="189" t="s">
        <v>1409</v>
      </c>
      <c r="G631" s="617" t="s">
        <v>698</v>
      </c>
      <c r="H631" s="7" t="s">
        <v>436</v>
      </c>
      <c r="I631" s="252">
        <v>250</v>
      </c>
      <c r="J631" s="252">
        <v>8505</v>
      </c>
      <c r="K631" s="615">
        <v>2126250</v>
      </c>
      <c r="L631" s="194" t="s">
        <v>169</v>
      </c>
      <c r="M631" s="616" t="s">
        <v>8</v>
      </c>
      <c r="N631" s="52" t="str">
        <f>IF(AND('331-CT'!$E$7=TH!H631,OR(L631="331",M631="331")),"331",IF(AND(OR(L631="131",M631="131"),H631='131-CT'!$E$7),"131",""))</f>
        <v>331</v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B631" s="606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84">
        <v>41027</v>
      </c>
      <c r="D632" s="184" t="s">
        <v>468</v>
      </c>
      <c r="E632" s="184">
        <v>41027</v>
      </c>
      <c r="F632" s="189" t="s">
        <v>1410</v>
      </c>
      <c r="G632" s="617" t="s">
        <v>698</v>
      </c>
      <c r="H632" s="7" t="s">
        <v>436</v>
      </c>
      <c r="I632" s="252">
        <v>195</v>
      </c>
      <c r="J632" s="252">
        <v>12241</v>
      </c>
      <c r="K632" s="615">
        <v>2386995</v>
      </c>
      <c r="L632" s="194" t="s">
        <v>169</v>
      </c>
      <c r="M632" s="616" t="s">
        <v>8</v>
      </c>
      <c r="N632" s="52" t="str">
        <f>IF(AND('331-CT'!$E$7=TH!H632,OR(L632="331",M632="331")),"331",IF(AND(OR(L632="131",M632="131"),H632='131-CT'!$E$7),"131",""))</f>
        <v>331</v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B632" s="606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84">
        <v>41027</v>
      </c>
      <c r="D633" s="184" t="s">
        <v>468</v>
      </c>
      <c r="E633" s="184">
        <v>41027</v>
      </c>
      <c r="F633" s="189" t="s">
        <v>1286</v>
      </c>
      <c r="G633" s="617" t="s">
        <v>698</v>
      </c>
      <c r="H633" s="7" t="s">
        <v>436</v>
      </c>
      <c r="I633" s="252">
        <v>100</v>
      </c>
      <c r="J633" s="252">
        <v>22361</v>
      </c>
      <c r="K633" s="615">
        <v>2236100</v>
      </c>
      <c r="L633" s="194" t="s">
        <v>169</v>
      </c>
      <c r="M633" s="616" t="s">
        <v>8</v>
      </c>
      <c r="N633" s="52" t="str">
        <f>IF(AND('331-CT'!$E$7=TH!H633,OR(L633="331",M633="331")),"331",IF(AND(OR(L633="131",M633="131"),H633='131-CT'!$E$7),"131",""))</f>
        <v>331</v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B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v>41027</v>
      </c>
      <c r="D634" s="184" t="s">
        <v>468</v>
      </c>
      <c r="E634" s="191">
        <v>41027</v>
      </c>
      <c r="F634" s="192" t="s">
        <v>566</v>
      </c>
      <c r="G634" s="490" t="s">
        <v>698</v>
      </c>
      <c r="H634" s="7" t="s">
        <v>436</v>
      </c>
      <c r="I634" s="252"/>
      <c r="J634" s="252"/>
      <c r="K634" s="38">
        <v>1370539</v>
      </c>
      <c r="L634" s="194" t="s">
        <v>9</v>
      </c>
      <c r="M634" s="616" t="s">
        <v>8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606">
        <v>4</v>
      </c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v>41027</v>
      </c>
      <c r="D635" s="184" t="s">
        <v>417</v>
      </c>
      <c r="E635" s="191">
        <v>41027</v>
      </c>
      <c r="F635" s="192" t="s">
        <v>400</v>
      </c>
      <c r="G635" s="490" t="s">
        <v>698</v>
      </c>
      <c r="H635" s="7" t="s">
        <v>436</v>
      </c>
      <c r="I635" s="252"/>
      <c r="J635" s="252"/>
      <c r="K635" s="38">
        <v>15075930</v>
      </c>
      <c r="L635" s="616" t="s">
        <v>8</v>
      </c>
      <c r="M635" s="616" t="s">
        <v>48</v>
      </c>
      <c r="N635" s="52" t="str">
        <f>IF(AND('331-CT'!$E$7=TH!H635,OR(L635="331",M635="331")),"331",IF(AND(OR(L635="131",M635="131"),H635='131-CT'!$E$7),"131",""))</f>
        <v>331</v>
      </c>
      <c r="O635" s="52" t="str">
        <f>IF(AND($B635&gt;='111'!$N$11,$B635&lt;='111'!$O$11,OR($L635=$O$7,$M635=$O$7)),"x","")</f>
        <v>x</v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v>41027</v>
      </c>
      <c r="D636" s="184" t="s">
        <v>469</v>
      </c>
      <c r="E636" s="191">
        <v>41027</v>
      </c>
      <c r="F636" s="192" t="s">
        <v>1386</v>
      </c>
      <c r="G636" s="490" t="s">
        <v>699</v>
      </c>
      <c r="H636" s="7" t="s">
        <v>436</v>
      </c>
      <c r="I636" s="252">
        <v>150</v>
      </c>
      <c r="J636" s="252">
        <v>11176</v>
      </c>
      <c r="K636" s="38">
        <v>1676400</v>
      </c>
      <c r="L636" s="194" t="s">
        <v>169</v>
      </c>
      <c r="M636" s="616" t="s">
        <v>8</v>
      </c>
      <c r="N636" s="52" t="str">
        <f>IF(AND('331-CT'!$E$7=TH!H636,OR(L636="331",M636="331")),"331",IF(AND(OR(L636="131",M636="131"),H636='131-CT'!$E$7),"131",""))</f>
        <v>331</v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B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v>41027</v>
      </c>
      <c r="D637" s="184" t="s">
        <v>469</v>
      </c>
      <c r="E637" s="833">
        <v>41027</v>
      </c>
      <c r="F637" s="189" t="s">
        <v>1411</v>
      </c>
      <c r="G637" s="490" t="s">
        <v>699</v>
      </c>
      <c r="H637" s="7" t="s">
        <v>436</v>
      </c>
      <c r="I637" s="252">
        <v>300</v>
      </c>
      <c r="J637" s="252">
        <v>13112</v>
      </c>
      <c r="K637" s="615">
        <v>3933600</v>
      </c>
      <c r="L637" s="194" t="s">
        <v>169</v>
      </c>
      <c r="M637" s="616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191">
        <v>41027</v>
      </c>
      <c r="D638" s="184" t="s">
        <v>469</v>
      </c>
      <c r="E638" s="833">
        <v>41027</v>
      </c>
      <c r="F638" s="189" t="s">
        <v>1287</v>
      </c>
      <c r="G638" s="490" t="s">
        <v>699</v>
      </c>
      <c r="H638" s="7" t="s">
        <v>436</v>
      </c>
      <c r="I638" s="252">
        <v>200</v>
      </c>
      <c r="J638" s="252">
        <v>23543</v>
      </c>
      <c r="K638" s="38">
        <v>4708600</v>
      </c>
      <c r="L638" s="194" t="s">
        <v>169</v>
      </c>
      <c r="M638" s="616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B638" s="606"/>
    </row>
    <row r="639" spans="1:30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191">
        <v>41027</v>
      </c>
      <c r="D639" s="184" t="s">
        <v>469</v>
      </c>
      <c r="E639" s="833">
        <v>41027</v>
      </c>
      <c r="F639" s="192" t="s">
        <v>1288</v>
      </c>
      <c r="G639" s="490" t="s">
        <v>699</v>
      </c>
      <c r="H639" s="7" t="s">
        <v>436</v>
      </c>
      <c r="I639" s="254">
        <v>150</v>
      </c>
      <c r="J639" s="254">
        <v>11706</v>
      </c>
      <c r="K639" s="38">
        <v>1755900</v>
      </c>
      <c r="L639" s="194" t="s">
        <v>169</v>
      </c>
      <c r="M639" s="616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198"/>
      <c r="AB639" s="606"/>
      <c r="AC639" s="198"/>
      <c r="AD639" s="198"/>
    </row>
    <row r="640" spans="1:30" s="606" customFormat="1" ht="15.75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184">
        <v>41027</v>
      </c>
      <c r="D640" s="184" t="s">
        <v>469</v>
      </c>
      <c r="E640" s="184">
        <v>41027</v>
      </c>
      <c r="F640" s="189" t="s">
        <v>1289</v>
      </c>
      <c r="G640" s="617" t="s">
        <v>699</v>
      </c>
      <c r="H640" s="7" t="s">
        <v>436</v>
      </c>
      <c r="I640" s="252">
        <v>500</v>
      </c>
      <c r="J640" s="252">
        <v>23149</v>
      </c>
      <c r="K640" s="615">
        <v>11574500</v>
      </c>
      <c r="L640" s="194" t="s">
        <v>169</v>
      </c>
      <c r="M640" s="616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198"/>
      <c r="AC640" s="198"/>
      <c r="AD640" s="198"/>
    </row>
    <row r="641" spans="1:30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44"/>
        <v>4</v>
      </c>
      <c r="C641" s="191">
        <v>41027</v>
      </c>
      <c r="D641" s="184" t="s">
        <v>469</v>
      </c>
      <c r="E641" s="191">
        <v>41027</v>
      </c>
      <c r="F641" s="192" t="s">
        <v>1290</v>
      </c>
      <c r="G641" s="490" t="s">
        <v>699</v>
      </c>
      <c r="H641" s="7" t="s">
        <v>436</v>
      </c>
      <c r="I641" s="252">
        <v>100</v>
      </c>
      <c r="J641" s="252">
        <v>40996</v>
      </c>
      <c r="K641" s="38">
        <v>4099600</v>
      </c>
      <c r="L641" s="194" t="s">
        <v>169</v>
      </c>
      <c r="M641" s="616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198"/>
      <c r="AB641" s="606"/>
      <c r="AC641" s="198"/>
      <c r="AD641" s="198"/>
    </row>
    <row r="642" spans="1:30" s="606" customFormat="1" ht="15.75" customHeight="1">
      <c r="A642" s="204" t="str">
        <f>IF(B642&lt;&gt;"",IF(AND(B642&gt;=_TM1,B642&lt;=_TM2,OR(TH!L642="1111",TH!M642="1111")),TH!D642,""),"")</f>
        <v/>
      </c>
      <c r="B642" s="36">
        <f t="shared" si="44"/>
        <v>4</v>
      </c>
      <c r="C642" s="191">
        <v>41027</v>
      </c>
      <c r="D642" s="184" t="s">
        <v>469</v>
      </c>
      <c r="E642" s="191">
        <v>41027</v>
      </c>
      <c r="F642" s="192" t="s">
        <v>566</v>
      </c>
      <c r="G642" s="490" t="s">
        <v>699</v>
      </c>
      <c r="H642" s="7" t="s">
        <v>436</v>
      </c>
      <c r="I642" s="252"/>
      <c r="J642" s="252"/>
      <c r="K642" s="38">
        <v>2774860</v>
      </c>
      <c r="L642" s="194" t="s">
        <v>9</v>
      </c>
      <c r="M642" s="616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606">
        <v>4</v>
      </c>
      <c r="AB642" s="198"/>
      <c r="AC642" s="198"/>
      <c r="AD642" s="198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4"/>
        <v>4</v>
      </c>
      <c r="C643" s="191">
        <f t="shared" ref="C643:C663" si="46">E643</f>
        <v>41028</v>
      </c>
      <c r="D643" s="191" t="s">
        <v>1600</v>
      </c>
      <c r="E643" s="899">
        <v>41028</v>
      </c>
      <c r="F643" s="192" t="s">
        <v>1546</v>
      </c>
      <c r="G643" s="898" t="s">
        <v>1568</v>
      </c>
      <c r="H643" s="7" t="s">
        <v>496</v>
      </c>
      <c r="I643" s="252">
        <v>250</v>
      </c>
      <c r="J643" s="897">
        <v>20399</v>
      </c>
      <c r="K643" s="38">
        <f t="shared" ref="K643:K653" si="47">ROUND(I643*J643,0)</f>
        <v>5099750</v>
      </c>
      <c r="L643" s="194" t="s">
        <v>284</v>
      </c>
      <c r="M643" s="194" t="s">
        <v>185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211"/>
      <c r="AB643" s="211"/>
      <c r="AC643" s="211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4"/>
        <v>4</v>
      </c>
      <c r="C644" s="191">
        <f t="shared" si="46"/>
        <v>41028</v>
      </c>
      <c r="D644" s="191" t="s">
        <v>1600</v>
      </c>
      <c r="E644" s="899">
        <v>41028</v>
      </c>
      <c r="F644" s="192" t="s">
        <v>1515</v>
      </c>
      <c r="G644" s="898" t="s">
        <v>1568</v>
      </c>
      <c r="H644" s="7" t="s">
        <v>496</v>
      </c>
      <c r="I644" s="252">
        <v>450</v>
      </c>
      <c r="J644" s="252">
        <v>11990</v>
      </c>
      <c r="K644" s="38">
        <f t="shared" si="47"/>
        <v>5395500</v>
      </c>
      <c r="L644" s="194" t="s">
        <v>284</v>
      </c>
      <c r="M644" s="194" t="s">
        <v>185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211"/>
      <c r="AB644" s="211"/>
      <c r="AC644" s="211"/>
      <c r="AD644" s="211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4"/>
        <v>4</v>
      </c>
      <c r="C645" s="191">
        <f t="shared" si="46"/>
        <v>41028</v>
      </c>
      <c r="D645" s="191" t="s">
        <v>1600</v>
      </c>
      <c r="E645" s="899">
        <v>41028</v>
      </c>
      <c r="F645" s="192" t="s">
        <v>1540</v>
      </c>
      <c r="G645" s="898" t="s">
        <v>1568</v>
      </c>
      <c r="H645" s="7" t="s">
        <v>496</v>
      </c>
      <c r="I645" s="252">
        <v>180</v>
      </c>
      <c r="J645" s="252">
        <v>12439</v>
      </c>
      <c r="K645" s="38">
        <f t="shared" si="47"/>
        <v>2239020</v>
      </c>
      <c r="L645" s="194" t="s">
        <v>284</v>
      </c>
      <c r="M645" s="194" t="s">
        <v>185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4"/>
        <v>4</v>
      </c>
      <c r="C646" s="191">
        <f t="shared" si="46"/>
        <v>41028</v>
      </c>
      <c r="D646" s="191" t="s">
        <v>1600</v>
      </c>
      <c r="E646" s="899">
        <v>41028</v>
      </c>
      <c r="F646" s="192" t="s">
        <v>1515</v>
      </c>
      <c r="G646" s="898" t="s">
        <v>1568</v>
      </c>
      <c r="H646" s="7" t="s">
        <v>496</v>
      </c>
      <c r="I646" s="252">
        <v>879</v>
      </c>
      <c r="J646" s="252">
        <v>11990</v>
      </c>
      <c r="K646" s="38">
        <f t="shared" si="47"/>
        <v>10539210</v>
      </c>
      <c r="L646" s="194" t="s">
        <v>284</v>
      </c>
      <c r="M646" s="194" t="s">
        <v>185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/>
      <c r="AB646" s="211"/>
      <c r="AC646" s="211"/>
      <c r="AD646" s="211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4"/>
        <v>4</v>
      </c>
      <c r="C647" s="191">
        <f t="shared" si="46"/>
        <v>41028</v>
      </c>
      <c r="D647" s="191" t="s">
        <v>1600</v>
      </c>
      <c r="E647" s="899">
        <v>41028</v>
      </c>
      <c r="F647" s="192" t="s">
        <v>1542</v>
      </c>
      <c r="G647" s="898" t="s">
        <v>1568</v>
      </c>
      <c r="H647" s="7" t="s">
        <v>496</v>
      </c>
      <c r="I647" s="252">
        <v>506</v>
      </c>
      <c r="J647" s="252">
        <v>12077.968000000001</v>
      </c>
      <c r="K647" s="38">
        <f t="shared" si="47"/>
        <v>6111452</v>
      </c>
      <c r="L647" s="194" t="s">
        <v>284</v>
      </c>
      <c r="M647" s="194" t="s">
        <v>185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211"/>
      <c r="AC647" s="211"/>
      <c r="AD647" s="211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4"/>
        <v>4</v>
      </c>
      <c r="C648" s="191">
        <f t="shared" si="46"/>
        <v>41028</v>
      </c>
      <c r="D648" s="191" t="s">
        <v>1600</v>
      </c>
      <c r="E648" s="899">
        <v>41028</v>
      </c>
      <c r="F648" s="192" t="s">
        <v>1543</v>
      </c>
      <c r="G648" s="898" t="s">
        <v>1568</v>
      </c>
      <c r="H648" s="7" t="s">
        <v>496</v>
      </c>
      <c r="I648" s="252">
        <v>793</v>
      </c>
      <c r="J648" s="252">
        <v>15916</v>
      </c>
      <c r="K648" s="38">
        <f t="shared" si="47"/>
        <v>12621388</v>
      </c>
      <c r="L648" s="194" t="s">
        <v>284</v>
      </c>
      <c r="M648" s="194" t="s">
        <v>185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211"/>
      <c r="AB648" s="211"/>
      <c r="AC648" s="211"/>
      <c r="AD648" s="211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4"/>
        <v>4</v>
      </c>
      <c r="C649" s="191">
        <f t="shared" si="46"/>
        <v>41028</v>
      </c>
      <c r="D649" s="191" t="s">
        <v>1600</v>
      </c>
      <c r="E649" s="899">
        <v>41028</v>
      </c>
      <c r="F649" s="192" t="s">
        <v>1544</v>
      </c>
      <c r="G649" s="898" t="s">
        <v>1568</v>
      </c>
      <c r="H649" s="7" t="s">
        <v>496</v>
      </c>
      <c r="I649" s="252">
        <f>215+645</f>
        <v>860</v>
      </c>
      <c r="J649" s="252">
        <v>16005</v>
      </c>
      <c r="K649" s="38">
        <f t="shared" si="47"/>
        <v>13764300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4"/>
        <v>4</v>
      </c>
      <c r="C650" s="191">
        <f t="shared" si="46"/>
        <v>41028</v>
      </c>
      <c r="D650" s="191" t="s">
        <v>1600</v>
      </c>
      <c r="E650" s="899">
        <v>41028</v>
      </c>
      <c r="F650" s="192" t="s">
        <v>1545</v>
      </c>
      <c r="G650" s="898" t="s">
        <v>1568</v>
      </c>
      <c r="H650" s="7" t="s">
        <v>496</v>
      </c>
      <c r="I650" s="252">
        <v>356</v>
      </c>
      <c r="J650" s="254">
        <v>11928</v>
      </c>
      <c r="K650" s="38">
        <f t="shared" si="47"/>
        <v>4246368</v>
      </c>
      <c r="L650" s="194" t="s">
        <v>284</v>
      </c>
      <c r="M650" s="194" t="s">
        <v>185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211"/>
      <c r="AB650" s="211"/>
      <c r="AC650" s="211"/>
      <c r="AD650" s="211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4"/>
        <v>4</v>
      </c>
      <c r="C651" s="191">
        <f t="shared" si="46"/>
        <v>41028</v>
      </c>
      <c r="D651" s="191" t="s">
        <v>1600</v>
      </c>
      <c r="E651" s="899">
        <v>41028</v>
      </c>
      <c r="F651" s="192" t="s">
        <v>1542</v>
      </c>
      <c r="G651" s="898" t="s">
        <v>1568</v>
      </c>
      <c r="H651" s="7" t="s">
        <v>496</v>
      </c>
      <c r="I651" s="252">
        <v>350</v>
      </c>
      <c r="J651" s="252">
        <v>12078</v>
      </c>
      <c r="K651" s="38">
        <f t="shared" si="47"/>
        <v>4227300</v>
      </c>
      <c r="L651" s="194" t="s">
        <v>284</v>
      </c>
      <c r="M651" s="194" t="s">
        <v>185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211"/>
      <c r="AC651" s="211"/>
      <c r="AD651" s="211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4"/>
        <v>4</v>
      </c>
      <c r="C652" s="191">
        <f t="shared" si="46"/>
        <v>41028</v>
      </c>
      <c r="D652" s="191" t="s">
        <v>1600</v>
      </c>
      <c r="E652" s="899">
        <v>41028</v>
      </c>
      <c r="F652" s="192" t="s">
        <v>1543</v>
      </c>
      <c r="G652" s="898" t="s">
        <v>1568</v>
      </c>
      <c r="H652" s="7" t="s">
        <v>496</v>
      </c>
      <c r="I652" s="252">
        <v>452</v>
      </c>
      <c r="J652" s="252">
        <v>15916</v>
      </c>
      <c r="K652" s="38">
        <f t="shared" si="47"/>
        <v>7194032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4"/>
        <v>4</v>
      </c>
      <c r="C653" s="191">
        <f t="shared" si="46"/>
        <v>41028</v>
      </c>
      <c r="D653" s="191" t="s">
        <v>1600</v>
      </c>
      <c r="E653" s="899">
        <v>41028</v>
      </c>
      <c r="F653" s="192" t="s">
        <v>1544</v>
      </c>
      <c r="G653" s="898" t="s">
        <v>1568</v>
      </c>
      <c r="H653" s="7" t="s">
        <v>496</v>
      </c>
      <c r="I653" s="252">
        <v>972</v>
      </c>
      <c r="J653" s="252">
        <v>16005</v>
      </c>
      <c r="K653" s="38">
        <f t="shared" si="47"/>
        <v>15556860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4"/>
        <v>4</v>
      </c>
      <c r="C654" s="191">
        <f t="shared" si="46"/>
        <v>41028</v>
      </c>
      <c r="D654" s="191" t="s">
        <v>1600</v>
      </c>
      <c r="E654" s="883">
        <v>41028</v>
      </c>
      <c r="F654" s="192" t="s">
        <v>555</v>
      </c>
      <c r="G654" s="898" t="s">
        <v>1568</v>
      </c>
      <c r="H654" s="7" t="s">
        <v>496</v>
      </c>
      <c r="I654" s="252"/>
      <c r="J654" s="252"/>
      <c r="K654" s="615">
        <v>8699518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B654" s="906"/>
      <c r="AC654" s="906">
        <f>AB654-SUM(K643:K653)</f>
        <v>-86995180</v>
      </c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4"/>
        <v>4</v>
      </c>
      <c r="C655" s="740">
        <f t="shared" si="46"/>
        <v>41029</v>
      </c>
      <c r="D655" s="740" t="s">
        <v>367</v>
      </c>
      <c r="E655" s="853">
        <v>41029</v>
      </c>
      <c r="F655" s="741" t="s">
        <v>1584</v>
      </c>
      <c r="G655" s="742"/>
      <c r="H655" s="629"/>
      <c r="I655" s="487"/>
      <c r="J655" s="487"/>
      <c r="K655" s="743">
        <v>9325000</v>
      </c>
      <c r="L655" s="744" t="s">
        <v>84</v>
      </c>
      <c r="M655" s="744" t="s">
        <v>287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642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606"/>
      <c r="AB655" s="606"/>
      <c r="AC655" s="606"/>
      <c r="AD655" s="606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4"/>
        <v>4</v>
      </c>
      <c r="C656" s="740">
        <f t="shared" si="46"/>
        <v>41029</v>
      </c>
      <c r="D656" s="740" t="s">
        <v>367</v>
      </c>
      <c r="E656" s="853">
        <v>41029</v>
      </c>
      <c r="F656" s="741" t="s">
        <v>511</v>
      </c>
      <c r="G656" s="742"/>
      <c r="H656" s="629"/>
      <c r="I656" s="487"/>
      <c r="J656" s="487"/>
      <c r="K656" s="743">
        <v>13450000</v>
      </c>
      <c r="L656" s="744" t="s">
        <v>175</v>
      </c>
      <c r="M656" s="744" t="s">
        <v>287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606"/>
      <c r="AB656" s="606"/>
      <c r="AC656" s="606"/>
      <c r="AD656" s="606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4"/>
        <v>4</v>
      </c>
      <c r="C657" s="740">
        <f t="shared" si="46"/>
        <v>41029</v>
      </c>
      <c r="D657" s="740" t="s">
        <v>418</v>
      </c>
      <c r="E657" s="853">
        <v>41029</v>
      </c>
      <c r="F657" s="741" t="str">
        <f>"Thanh toán tiền lương tháng "&amp;MONTH(E657)&amp;"/"&amp;YEAR(E657)</f>
        <v>Thanh toán tiền lương tháng 4/2012</v>
      </c>
      <c r="G657" s="742"/>
      <c r="H657" s="45" t="s">
        <v>684</v>
      </c>
      <c r="I657" s="487"/>
      <c r="J657" s="487"/>
      <c r="K657" s="743">
        <f>K655+K656</f>
        <v>22775000</v>
      </c>
      <c r="L657" s="744" t="s">
        <v>287</v>
      </c>
      <c r="M657" s="744" t="s">
        <v>48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>x</v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606"/>
      <c r="AB657" s="606"/>
      <c r="AC657" s="606"/>
      <c r="AD657" s="606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4"/>
        <v>5</v>
      </c>
      <c r="C658" s="191">
        <f t="shared" si="46"/>
        <v>41031</v>
      </c>
      <c r="D658" s="191" t="s">
        <v>1601</v>
      </c>
      <c r="E658" s="184">
        <v>41031</v>
      </c>
      <c r="F658" s="189" t="s">
        <v>1207</v>
      </c>
      <c r="G658" s="488" t="s">
        <v>980</v>
      </c>
      <c r="H658" s="193" t="s">
        <v>981</v>
      </c>
      <c r="I658" s="252">
        <v>200</v>
      </c>
      <c r="J658" s="252">
        <v>18915</v>
      </c>
      <c r="K658" s="615">
        <f>ROUND(I658*J658,0)</f>
        <v>3783000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4"/>
        <v>5</v>
      </c>
      <c r="C659" s="191">
        <f t="shared" si="46"/>
        <v>41031</v>
      </c>
      <c r="D659" s="191" t="s">
        <v>1601</v>
      </c>
      <c r="E659" s="184">
        <v>41031</v>
      </c>
      <c r="F659" s="189" t="s">
        <v>1232</v>
      </c>
      <c r="G659" s="488" t="s">
        <v>980</v>
      </c>
      <c r="H659" s="193" t="s">
        <v>981</v>
      </c>
      <c r="I659" s="252">
        <v>100</v>
      </c>
      <c r="J659" s="252">
        <v>12386</v>
      </c>
      <c r="K659" s="615">
        <f>ROUND(I659*J659,0)</f>
        <v>1238600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4"/>
        <v>5</v>
      </c>
      <c r="C660" s="191">
        <f t="shared" si="46"/>
        <v>41031</v>
      </c>
      <c r="D660" s="191" t="s">
        <v>1601</v>
      </c>
      <c r="E660" s="883">
        <v>41031</v>
      </c>
      <c r="F660" s="192" t="s">
        <v>555</v>
      </c>
      <c r="G660" s="488" t="s">
        <v>980</v>
      </c>
      <c r="H660" s="873" t="s">
        <v>981</v>
      </c>
      <c r="I660" s="252"/>
      <c r="J660" s="252"/>
      <c r="K660" s="615">
        <v>502160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ref="B661:B724" si="48">IF(C661&lt;&gt;"",MONTH(C661),"")</f>
        <v>5</v>
      </c>
      <c r="C661" s="191">
        <f t="shared" si="46"/>
        <v>41031</v>
      </c>
      <c r="D661" s="191" t="s">
        <v>1643</v>
      </c>
      <c r="E661" s="883">
        <v>41031</v>
      </c>
      <c r="F661" s="192" t="s">
        <v>365</v>
      </c>
      <c r="G661" s="488" t="s">
        <v>980</v>
      </c>
      <c r="H661" s="873" t="s">
        <v>981</v>
      </c>
      <c r="I661" s="252"/>
      <c r="J661" s="252"/>
      <c r="K661" s="615">
        <v>5523760</v>
      </c>
      <c r="L661" s="194" t="s">
        <v>48</v>
      </c>
      <c r="M661" s="194" t="s">
        <v>284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>x</v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si="46"/>
        <v>41032</v>
      </c>
      <c r="D662" s="184" t="s">
        <v>437</v>
      </c>
      <c r="E662" s="191">
        <v>41032</v>
      </c>
      <c r="F662" s="189" t="s">
        <v>589</v>
      </c>
      <c r="G662" s="488" t="s">
        <v>1471</v>
      </c>
      <c r="H662" s="7" t="s">
        <v>591</v>
      </c>
      <c r="I662" s="252"/>
      <c r="J662" s="255"/>
      <c r="K662" s="615">
        <v>675119</v>
      </c>
      <c r="L662" s="194" t="s">
        <v>84</v>
      </c>
      <c r="M662" s="616" t="s">
        <v>48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>x</v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642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211"/>
      <c r="AC662" s="211"/>
      <c r="AD662" s="211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46"/>
        <v>41032</v>
      </c>
      <c r="D663" s="184" t="s">
        <v>437</v>
      </c>
      <c r="E663" s="191">
        <v>41032</v>
      </c>
      <c r="F663" s="189" t="s">
        <v>592</v>
      </c>
      <c r="G663" s="488" t="s">
        <v>1471</v>
      </c>
      <c r="H663" s="7" t="s">
        <v>591</v>
      </c>
      <c r="I663" s="255"/>
      <c r="J663" s="255"/>
      <c r="K663" s="38">
        <v>67511</v>
      </c>
      <c r="L663" s="194" t="s">
        <v>9</v>
      </c>
      <c r="M663" s="616" t="s">
        <v>48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>
        <v>5</v>
      </c>
      <c r="AB663" s="211"/>
      <c r="AC663" s="606"/>
      <c r="AD663" s="606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v>41032</v>
      </c>
      <c r="D664" s="184" t="s">
        <v>363</v>
      </c>
      <c r="E664" s="833">
        <v>41032</v>
      </c>
      <c r="F664" s="192" t="s">
        <v>365</v>
      </c>
      <c r="G664" s="490" t="s">
        <v>361</v>
      </c>
      <c r="H664" s="193" t="s">
        <v>700</v>
      </c>
      <c r="I664" s="252"/>
      <c r="J664" s="252"/>
      <c r="K664" s="38">
        <v>13717688</v>
      </c>
      <c r="L664" s="194" t="s">
        <v>24</v>
      </c>
      <c r="M664" s="194" t="s">
        <v>284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>x</v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v>41032</v>
      </c>
      <c r="D665" s="184" t="s">
        <v>363</v>
      </c>
      <c r="E665" s="833">
        <v>41032</v>
      </c>
      <c r="F665" s="192" t="s">
        <v>365</v>
      </c>
      <c r="G665" s="490" t="s">
        <v>361</v>
      </c>
      <c r="H665" s="7" t="s">
        <v>500</v>
      </c>
      <c r="I665" s="252"/>
      <c r="J665" s="252"/>
      <c r="K665" s="38">
        <v>17841120</v>
      </c>
      <c r="L665" s="194" t="s">
        <v>24</v>
      </c>
      <c r="M665" s="194" t="s">
        <v>284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>x</v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ref="C666:C678" si="49">E666</f>
        <v>41032</v>
      </c>
      <c r="D666" s="191" t="s">
        <v>1602</v>
      </c>
      <c r="E666" s="184">
        <v>41032</v>
      </c>
      <c r="F666" s="189" t="s">
        <v>1206</v>
      </c>
      <c r="G666" s="488" t="s">
        <v>982</v>
      </c>
      <c r="H666" s="193" t="s">
        <v>596</v>
      </c>
      <c r="I666" s="252">
        <v>317</v>
      </c>
      <c r="J666" s="252">
        <v>15720</v>
      </c>
      <c r="K666" s="615">
        <f>ROUND(I666*J666,0)</f>
        <v>4983240</v>
      </c>
      <c r="L666" s="194" t="s">
        <v>284</v>
      </c>
      <c r="M666" s="194" t="s">
        <v>185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49"/>
        <v>41032</v>
      </c>
      <c r="D667" s="191" t="s">
        <v>1602</v>
      </c>
      <c r="E667" s="883">
        <v>41032</v>
      </c>
      <c r="F667" s="192" t="s">
        <v>555</v>
      </c>
      <c r="G667" s="488" t="s">
        <v>982</v>
      </c>
      <c r="H667" s="193" t="s">
        <v>596</v>
      </c>
      <c r="I667" s="252"/>
      <c r="J667" s="252"/>
      <c r="K667" s="615">
        <v>498324</v>
      </c>
      <c r="L667" s="194" t="s">
        <v>284</v>
      </c>
      <c r="M667" s="194" t="s">
        <v>495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49"/>
        <v>41032</v>
      </c>
      <c r="D668" s="191" t="s">
        <v>1644</v>
      </c>
      <c r="E668" s="883">
        <v>41032</v>
      </c>
      <c r="F668" s="192" t="s">
        <v>365</v>
      </c>
      <c r="G668" s="488"/>
      <c r="H668" s="193" t="s">
        <v>596</v>
      </c>
      <c r="I668" s="252"/>
      <c r="J668" s="252"/>
      <c r="K668" s="615">
        <v>6665164</v>
      </c>
      <c r="L668" s="194" t="s">
        <v>48</v>
      </c>
      <c r="M668" s="194" t="s">
        <v>284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>x</v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49"/>
        <v>41033</v>
      </c>
      <c r="D669" s="191" t="s">
        <v>1603</v>
      </c>
      <c r="E669" s="184">
        <v>41033</v>
      </c>
      <c r="F669" s="189" t="s">
        <v>1149</v>
      </c>
      <c r="G669" s="488" t="s">
        <v>983</v>
      </c>
      <c r="H669" s="193" t="s">
        <v>1745</v>
      </c>
      <c r="I669" s="252">
        <v>305</v>
      </c>
      <c r="J669" s="252">
        <v>16380</v>
      </c>
      <c r="K669" s="615">
        <f>ROUND(I669*J669,0)</f>
        <v>4995900</v>
      </c>
      <c r="L669" s="194" t="s">
        <v>284</v>
      </c>
      <c r="M669" s="194" t="s">
        <v>185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211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49"/>
        <v>41033</v>
      </c>
      <c r="D670" s="191" t="s">
        <v>1603</v>
      </c>
      <c r="E670" s="184">
        <v>41033</v>
      </c>
      <c r="F670" s="189" t="s">
        <v>1205</v>
      </c>
      <c r="G670" s="488" t="s">
        <v>983</v>
      </c>
      <c r="H670" s="193" t="s">
        <v>1745</v>
      </c>
      <c r="I670" s="252">
        <v>188</v>
      </c>
      <c r="J670" s="252">
        <v>13630</v>
      </c>
      <c r="K670" s="615">
        <f>ROUND(I670*J670,0)</f>
        <v>2562440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49"/>
        <v>41033</v>
      </c>
      <c r="D671" s="191" t="s">
        <v>1603</v>
      </c>
      <c r="E671" s="883">
        <v>41033</v>
      </c>
      <c r="F671" s="192" t="s">
        <v>555</v>
      </c>
      <c r="G671" s="488" t="s">
        <v>983</v>
      </c>
      <c r="H671" s="193" t="s">
        <v>1745</v>
      </c>
      <c r="I671" s="252"/>
      <c r="J671" s="252"/>
      <c r="K671" s="615">
        <v>755834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f t="shared" si="49"/>
        <v>41033</v>
      </c>
      <c r="D672" s="191" t="s">
        <v>1645</v>
      </c>
      <c r="E672" s="883">
        <v>41033</v>
      </c>
      <c r="F672" s="192" t="s">
        <v>365</v>
      </c>
      <c r="G672" s="488" t="s">
        <v>983</v>
      </c>
      <c r="H672" s="193" t="s">
        <v>1745</v>
      </c>
      <c r="I672" s="252"/>
      <c r="J672" s="252"/>
      <c r="K672" s="615">
        <v>8314174</v>
      </c>
      <c r="L672" s="194" t="s">
        <v>48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>x</v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91">
        <f t="shared" si="49"/>
        <v>41033</v>
      </c>
      <c r="D673" s="191" t="s">
        <v>1604</v>
      </c>
      <c r="E673" s="184">
        <v>41033</v>
      </c>
      <c r="F673" s="192" t="s">
        <v>1137</v>
      </c>
      <c r="G673" s="691" t="s">
        <v>984</v>
      </c>
      <c r="H673" s="7" t="s">
        <v>632</v>
      </c>
      <c r="I673" s="252">
        <v>897</v>
      </c>
      <c r="J673" s="252">
        <v>6210</v>
      </c>
      <c r="K673" s="615">
        <f>ROUND(I673*J673,0)</f>
        <v>5570370</v>
      </c>
      <c r="L673" s="194" t="s">
        <v>284</v>
      </c>
      <c r="M673" s="194" t="s">
        <v>185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211"/>
      <c r="AC673" s="211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f t="shared" si="49"/>
        <v>41033</v>
      </c>
      <c r="D674" s="191" t="s">
        <v>1604</v>
      </c>
      <c r="E674" s="184">
        <v>41033</v>
      </c>
      <c r="F674" s="192" t="s">
        <v>1204</v>
      </c>
      <c r="G674" s="691" t="s">
        <v>984</v>
      </c>
      <c r="H674" s="7" t="s">
        <v>632</v>
      </c>
      <c r="I674" s="252">
        <v>287</v>
      </c>
      <c r="J674" s="252">
        <v>8208</v>
      </c>
      <c r="K674" s="615">
        <f>ROUND(I674*J674,0)</f>
        <v>2355696</v>
      </c>
      <c r="L674" s="194" t="s">
        <v>284</v>
      </c>
      <c r="M674" s="194" t="s">
        <v>185</v>
      </c>
      <c r="N674" s="52" t="str">
        <f>IF(AND('331-CT'!$E$7=TH!H674,OR(L674="331",M674="331")),"331",IF(AND(OR(L674="131",M674="131"),H674='131-CT'!$E$7),"131",""))</f>
        <v>131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211"/>
      <c r="AB674" s="211"/>
      <c r="AC674" s="211"/>
      <c r="AD674" s="211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f t="shared" si="49"/>
        <v>41033</v>
      </c>
      <c r="D675" s="191" t="s">
        <v>1604</v>
      </c>
      <c r="E675" s="184">
        <v>41033</v>
      </c>
      <c r="F675" s="192" t="s">
        <v>1203</v>
      </c>
      <c r="G675" s="691" t="s">
        <v>984</v>
      </c>
      <c r="H675" s="7" t="s">
        <v>632</v>
      </c>
      <c r="I675" s="252">
        <v>254</v>
      </c>
      <c r="J675" s="252">
        <v>11699</v>
      </c>
      <c r="K675" s="615">
        <f>ROUND(I675*J675,0)</f>
        <v>2971546</v>
      </c>
      <c r="L675" s="194" t="s">
        <v>284</v>
      </c>
      <c r="M675" s="194" t="s">
        <v>185</v>
      </c>
      <c r="N675" s="52" t="str">
        <f>IF(AND('331-CT'!$E$7=TH!H675,OR(L675="331",M675="331")),"331",IF(AND(OR(L675="131",M675="131"),H675='131-CT'!$E$7),"131",""))</f>
        <v>131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211"/>
      <c r="AC675" s="211"/>
      <c r="AD675" s="211"/>
    </row>
    <row r="676" spans="1:30" s="894" customFormat="1" ht="15.75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91">
        <f t="shared" si="49"/>
        <v>41033</v>
      </c>
      <c r="D676" s="191" t="s">
        <v>1604</v>
      </c>
      <c r="E676" s="184">
        <v>41033</v>
      </c>
      <c r="F676" s="192" t="s">
        <v>1136</v>
      </c>
      <c r="G676" s="691" t="s">
        <v>984</v>
      </c>
      <c r="H676" s="7" t="s">
        <v>632</v>
      </c>
      <c r="I676" s="252">
        <v>297</v>
      </c>
      <c r="J676" s="252">
        <v>9880</v>
      </c>
      <c r="K676" s="615">
        <f>ROUND(I676*J676,0)</f>
        <v>2934360</v>
      </c>
      <c r="L676" s="194" t="s">
        <v>284</v>
      </c>
      <c r="M676" s="194" t="s">
        <v>185</v>
      </c>
      <c r="N676" s="52" t="str">
        <f>IF(AND('331-CT'!$E$7=TH!H676,OR(L676="331",M676="331")),"331",IF(AND(OR(L676="131",M676="131"),H676='131-CT'!$E$7),"131",""))</f>
        <v>131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211"/>
      <c r="AC676" s="211"/>
      <c r="AD676" s="211"/>
    </row>
    <row r="677" spans="1:30" s="894" customFormat="1" ht="15.75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91">
        <f t="shared" si="49"/>
        <v>41033</v>
      </c>
      <c r="D677" s="191" t="s">
        <v>1604</v>
      </c>
      <c r="E677" s="184">
        <v>41033</v>
      </c>
      <c r="F677" s="192" t="s">
        <v>1131</v>
      </c>
      <c r="G677" s="691" t="s">
        <v>984</v>
      </c>
      <c r="H677" s="7" t="s">
        <v>632</v>
      </c>
      <c r="I677" s="252">
        <v>80</v>
      </c>
      <c r="J677" s="252">
        <v>13320</v>
      </c>
      <c r="K677" s="615">
        <f>ROUND(I677*J677,0)</f>
        <v>1065600</v>
      </c>
      <c r="L677" s="194" t="s">
        <v>284</v>
      </c>
      <c r="M677" s="194" t="s">
        <v>185</v>
      </c>
      <c r="N677" s="52" t="str">
        <f>IF(AND('331-CT'!$E$7=TH!H677,OR(L677="331",M677="331")),"331",IF(AND(OR(L677="131",M677="131"),H677='131-CT'!$E$7),"131",""))</f>
        <v>131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211"/>
      <c r="AC677" s="211"/>
      <c r="AD677" s="211"/>
    </row>
    <row r="678" spans="1:30" s="894" customFormat="1" ht="15.75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91">
        <f t="shared" si="49"/>
        <v>41033</v>
      </c>
      <c r="D678" s="191" t="s">
        <v>1604</v>
      </c>
      <c r="E678" s="883">
        <v>41033</v>
      </c>
      <c r="F678" s="192" t="s">
        <v>555</v>
      </c>
      <c r="G678" s="884" t="s">
        <v>984</v>
      </c>
      <c r="H678" s="7" t="s">
        <v>632</v>
      </c>
      <c r="I678" s="252"/>
      <c r="J678" s="252"/>
      <c r="K678" s="615">
        <v>1489757</v>
      </c>
      <c r="L678" s="194" t="s">
        <v>284</v>
      </c>
      <c r="M678" s="194" t="s">
        <v>495</v>
      </c>
      <c r="N678" s="52" t="str">
        <f>IF(AND('331-CT'!$E$7=TH!H678,OR(L678="331",M678="331")),"331",IF(AND(OR(L678="131",M678="131"),H678='131-CT'!$E$7),"131",""))</f>
        <v>131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198"/>
      <c r="AB678" s="198"/>
      <c r="AC678" s="198"/>
      <c r="AD678" s="19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91">
        <v>41034</v>
      </c>
      <c r="D679" s="184" t="s">
        <v>1646</v>
      </c>
      <c r="E679" s="191">
        <v>41034</v>
      </c>
      <c r="F679" s="297" t="s">
        <v>559</v>
      </c>
      <c r="G679" s="490" t="s">
        <v>361</v>
      </c>
      <c r="H679" s="7" t="s">
        <v>684</v>
      </c>
      <c r="I679" s="252"/>
      <c r="J679" s="252"/>
      <c r="K679" s="615">
        <v>36000000</v>
      </c>
      <c r="L679" s="194" t="s">
        <v>48</v>
      </c>
      <c r="M679" s="194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>x</v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>x</v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91">
        <f t="shared" ref="C680:C690" si="50">E680</f>
        <v>41036</v>
      </c>
      <c r="D680" s="184" t="s">
        <v>438</v>
      </c>
      <c r="E680" s="191">
        <v>41036</v>
      </c>
      <c r="F680" s="192" t="s">
        <v>400</v>
      </c>
      <c r="G680" s="490" t="s">
        <v>695</v>
      </c>
      <c r="H680" s="7" t="s">
        <v>436</v>
      </c>
      <c r="I680" s="252"/>
      <c r="J680" s="252"/>
      <c r="K680" s="615">
        <v>10464171</v>
      </c>
      <c r="L680" s="616" t="s">
        <v>8</v>
      </c>
      <c r="M680" s="616" t="s">
        <v>48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>x</v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606"/>
      <c r="AB680" s="211"/>
      <c r="AC680" s="849"/>
      <c r="AD680" s="84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f t="shared" si="50"/>
        <v>41036</v>
      </c>
      <c r="D681" s="191" t="s">
        <v>1605</v>
      </c>
      <c r="E681" s="191">
        <v>41036</v>
      </c>
      <c r="F681" s="192" t="s">
        <v>1202</v>
      </c>
      <c r="G681" s="490" t="s">
        <v>985</v>
      </c>
      <c r="H681" s="193" t="s">
        <v>948</v>
      </c>
      <c r="I681" s="252">
        <v>308</v>
      </c>
      <c r="J681" s="252">
        <v>5200</v>
      </c>
      <c r="K681" s="615">
        <f>ROUND(I681*J681,0)</f>
        <v>1601600</v>
      </c>
      <c r="L681" s="194" t="s">
        <v>284</v>
      </c>
      <c r="M681" s="194" t="s">
        <v>185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  <c r="AD681" s="211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f t="shared" si="50"/>
        <v>41036</v>
      </c>
      <c r="D682" s="191" t="s">
        <v>1605</v>
      </c>
      <c r="E682" s="191">
        <v>41036</v>
      </c>
      <c r="F682" s="192" t="s">
        <v>986</v>
      </c>
      <c r="G682" s="490" t="s">
        <v>985</v>
      </c>
      <c r="H682" s="193" t="s">
        <v>948</v>
      </c>
      <c r="I682" s="252">
        <v>500</v>
      </c>
      <c r="J682" s="252">
        <v>603</v>
      </c>
      <c r="K682" s="615">
        <f>ROUND(I682*J682,0)</f>
        <v>301500</v>
      </c>
      <c r="L682" s="194" t="s">
        <v>284</v>
      </c>
      <c r="M682" s="194" t="s">
        <v>185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211"/>
      <c r="AC682" s="211"/>
      <c r="AD682" s="211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91">
        <f t="shared" si="50"/>
        <v>41036</v>
      </c>
      <c r="D683" s="191" t="s">
        <v>1605</v>
      </c>
      <c r="E683" s="191">
        <v>41036</v>
      </c>
      <c r="F683" s="192" t="s">
        <v>987</v>
      </c>
      <c r="G683" s="490" t="s">
        <v>985</v>
      </c>
      <c r="H683" s="193" t="s">
        <v>948</v>
      </c>
      <c r="I683" s="252">
        <v>5000</v>
      </c>
      <c r="J683" s="252">
        <v>460</v>
      </c>
      <c r="K683" s="615">
        <f>ROUND(I683*J683,0)</f>
        <v>2300000</v>
      </c>
      <c r="L683" s="194" t="s">
        <v>284</v>
      </c>
      <c r="M683" s="194" t="s">
        <v>185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211"/>
      <c r="AC683" s="211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91">
        <f t="shared" si="50"/>
        <v>41036</v>
      </c>
      <c r="D684" s="191" t="s">
        <v>1605</v>
      </c>
      <c r="E684" s="191">
        <v>41036</v>
      </c>
      <c r="F684" s="192" t="s">
        <v>555</v>
      </c>
      <c r="G684" s="490" t="s">
        <v>985</v>
      </c>
      <c r="H684" s="193" t="s">
        <v>948</v>
      </c>
      <c r="I684" s="252"/>
      <c r="J684" s="252"/>
      <c r="K684" s="615">
        <v>420310</v>
      </c>
      <c r="L684" s="194" t="s">
        <v>284</v>
      </c>
      <c r="M684" s="194" t="s">
        <v>495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91">
        <f t="shared" si="50"/>
        <v>41036</v>
      </c>
      <c r="D685" s="191" t="s">
        <v>1647</v>
      </c>
      <c r="E685" s="191">
        <v>41036</v>
      </c>
      <c r="F685" s="192" t="s">
        <v>365</v>
      </c>
      <c r="G685" s="490" t="s">
        <v>985</v>
      </c>
      <c r="H685" s="193" t="s">
        <v>948</v>
      </c>
      <c r="I685" s="252"/>
      <c r="J685" s="252"/>
      <c r="K685" s="615">
        <v>4623410</v>
      </c>
      <c r="L685" s="194" t="s">
        <v>48</v>
      </c>
      <c r="M685" s="194" t="s">
        <v>284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>x</v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 t="shared" si="50"/>
        <v>41037</v>
      </c>
      <c r="D686" s="191" t="s">
        <v>1606</v>
      </c>
      <c r="E686" s="191">
        <v>41037</v>
      </c>
      <c r="F686" s="192" t="s">
        <v>1153</v>
      </c>
      <c r="G686" s="490" t="s">
        <v>988</v>
      </c>
      <c r="H686" s="193" t="s">
        <v>989</v>
      </c>
      <c r="I686" s="252">
        <v>795</v>
      </c>
      <c r="J686" s="252">
        <v>6150</v>
      </c>
      <c r="K686" s="615">
        <f>ROUND(I686*J686,0)</f>
        <v>4889250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 t="shared" si="50"/>
        <v>41037</v>
      </c>
      <c r="D687" s="191" t="s">
        <v>1606</v>
      </c>
      <c r="E687" s="191">
        <v>41037</v>
      </c>
      <c r="F687" s="192" t="s">
        <v>555</v>
      </c>
      <c r="G687" s="490" t="s">
        <v>988</v>
      </c>
      <c r="H687" s="193" t="s">
        <v>989</v>
      </c>
      <c r="I687" s="252"/>
      <c r="J687" s="252"/>
      <c r="K687" s="615">
        <v>488925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f t="shared" si="50"/>
        <v>41037</v>
      </c>
      <c r="D688" s="191" t="s">
        <v>1648</v>
      </c>
      <c r="E688" s="191">
        <v>41037</v>
      </c>
      <c r="F688" s="192" t="s">
        <v>365</v>
      </c>
      <c r="G688" s="490" t="s">
        <v>988</v>
      </c>
      <c r="H688" s="193" t="s">
        <v>989</v>
      </c>
      <c r="I688" s="252"/>
      <c r="J688" s="252"/>
      <c r="K688" s="615">
        <v>5378175</v>
      </c>
      <c r="L688" s="194" t="s">
        <v>48</v>
      </c>
      <c r="M688" s="194" t="s">
        <v>284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>x</v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f t="shared" si="50"/>
        <v>41037</v>
      </c>
      <c r="D689" s="191" t="s">
        <v>1607</v>
      </c>
      <c r="E689" s="191">
        <v>41037</v>
      </c>
      <c r="F689" s="192" t="s">
        <v>1570</v>
      </c>
      <c r="G689" s="490" t="s">
        <v>1569</v>
      </c>
      <c r="H689" s="193" t="s">
        <v>497</v>
      </c>
      <c r="I689" s="252">
        <v>503</v>
      </c>
      <c r="J689" s="252">
        <v>6500</v>
      </c>
      <c r="K689" s="615">
        <f>ROUND(I689*J689,0)</f>
        <v>3269500</v>
      </c>
      <c r="L689" s="194" t="s">
        <v>284</v>
      </c>
      <c r="M689" s="194" t="s">
        <v>185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91">
        <f t="shared" si="50"/>
        <v>41037</v>
      </c>
      <c r="D690" s="191" t="s">
        <v>1607</v>
      </c>
      <c r="E690" s="191">
        <v>41037</v>
      </c>
      <c r="F690" s="192" t="s">
        <v>555</v>
      </c>
      <c r="G690" s="490" t="s">
        <v>1569</v>
      </c>
      <c r="H690" s="193" t="s">
        <v>497</v>
      </c>
      <c r="I690" s="252"/>
      <c r="J690" s="252"/>
      <c r="K690" s="615">
        <v>326950</v>
      </c>
      <c r="L690" s="194" t="s">
        <v>284</v>
      </c>
      <c r="M690" s="194" t="s">
        <v>495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91">
        <v>41038</v>
      </c>
      <c r="D691" s="184" t="s">
        <v>363</v>
      </c>
      <c r="E691" s="191">
        <v>41038</v>
      </c>
      <c r="F691" s="297" t="s">
        <v>365</v>
      </c>
      <c r="G691" s="490" t="s">
        <v>361</v>
      </c>
      <c r="H691" s="7" t="s">
        <v>496</v>
      </c>
      <c r="I691" s="252"/>
      <c r="J691" s="252"/>
      <c r="K691" s="38">
        <v>167687351</v>
      </c>
      <c r="L691" s="194" t="s">
        <v>24</v>
      </c>
      <c r="M691" s="194" t="s">
        <v>284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</row>
    <row r="692" spans="1:30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41039</v>
      </c>
      <c r="D692" s="184" t="s">
        <v>470</v>
      </c>
      <c r="E692" s="184">
        <v>41039</v>
      </c>
      <c r="F692" s="189" t="s">
        <v>1412</v>
      </c>
      <c r="G692" s="617" t="s">
        <v>701</v>
      </c>
      <c r="H692" s="7" t="s">
        <v>436</v>
      </c>
      <c r="I692" s="252">
        <v>350</v>
      </c>
      <c r="J692" s="252">
        <v>15429</v>
      </c>
      <c r="K692" s="615">
        <v>5400150</v>
      </c>
      <c r="L692" s="194" t="s">
        <v>169</v>
      </c>
      <c r="M692" s="616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606"/>
      <c r="AB692" s="606"/>
      <c r="AC692" s="198"/>
      <c r="AD692" s="198"/>
    </row>
    <row r="693" spans="1:30" s="606" customFormat="1" ht="15.75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91">
        <v>41039</v>
      </c>
      <c r="D693" s="184" t="s">
        <v>470</v>
      </c>
      <c r="E693" s="191">
        <v>41039</v>
      </c>
      <c r="F693" s="192" t="s">
        <v>1413</v>
      </c>
      <c r="G693" s="490" t="s">
        <v>701</v>
      </c>
      <c r="H693" s="7" t="s">
        <v>436</v>
      </c>
      <c r="I693" s="252">
        <v>250</v>
      </c>
      <c r="J693" s="252">
        <v>17722</v>
      </c>
      <c r="K693" s="38">
        <v>4430500</v>
      </c>
      <c r="L693" s="194" t="s">
        <v>169</v>
      </c>
      <c r="M693" s="616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C693" s="198"/>
      <c r="AD693" s="198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91">
        <v>41039</v>
      </c>
      <c r="D694" s="184" t="s">
        <v>470</v>
      </c>
      <c r="E694" s="191">
        <v>41039</v>
      </c>
      <c r="F694" s="192" t="s">
        <v>1291</v>
      </c>
      <c r="G694" s="490" t="s">
        <v>701</v>
      </c>
      <c r="H694" s="7" t="s">
        <v>436</v>
      </c>
      <c r="I694" s="252">
        <v>150</v>
      </c>
      <c r="J694" s="252">
        <v>27900</v>
      </c>
      <c r="K694" s="38">
        <v>4185000</v>
      </c>
      <c r="L694" s="194" t="s">
        <v>169</v>
      </c>
      <c r="M694" s="616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211"/>
      <c r="AB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84">
        <v>41039</v>
      </c>
      <c r="D695" s="184" t="s">
        <v>470</v>
      </c>
      <c r="E695" s="184">
        <v>41039</v>
      </c>
      <c r="F695" s="189" t="s">
        <v>1292</v>
      </c>
      <c r="G695" s="617" t="s">
        <v>701</v>
      </c>
      <c r="H695" s="7" t="s">
        <v>436</v>
      </c>
      <c r="I695" s="252">
        <v>100</v>
      </c>
      <c r="J695" s="252">
        <v>23250</v>
      </c>
      <c r="K695" s="615">
        <v>2325000</v>
      </c>
      <c r="L695" s="194" t="s">
        <v>169</v>
      </c>
      <c r="M695" s="616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606"/>
      <c r="AB695" s="606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84">
        <v>41039</v>
      </c>
      <c r="D696" s="184" t="s">
        <v>470</v>
      </c>
      <c r="E696" s="184">
        <v>41039</v>
      </c>
      <c r="F696" s="189" t="s">
        <v>1293</v>
      </c>
      <c r="G696" s="617" t="s">
        <v>701</v>
      </c>
      <c r="H696" s="7" t="s">
        <v>436</v>
      </c>
      <c r="I696" s="252">
        <v>100</v>
      </c>
      <c r="J696" s="252">
        <v>9332</v>
      </c>
      <c r="K696" s="615">
        <v>933200</v>
      </c>
      <c r="L696" s="194" t="s">
        <v>169</v>
      </c>
      <c r="M696" s="616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606"/>
      <c r="AB696" s="606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84">
        <v>41039</v>
      </c>
      <c r="D697" s="184" t="s">
        <v>470</v>
      </c>
      <c r="E697" s="184">
        <v>41039</v>
      </c>
      <c r="F697" s="189" t="s">
        <v>1294</v>
      </c>
      <c r="G697" s="617" t="s">
        <v>701</v>
      </c>
      <c r="H697" s="7" t="s">
        <v>436</v>
      </c>
      <c r="I697" s="252">
        <v>500</v>
      </c>
      <c r="J697" s="252">
        <v>15825</v>
      </c>
      <c r="K697" s="615">
        <v>7912500</v>
      </c>
      <c r="L697" s="194" t="s">
        <v>169</v>
      </c>
      <c r="M697" s="616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606"/>
      <c r="AB697" s="606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84">
        <v>41039</v>
      </c>
      <c r="D698" s="184" t="s">
        <v>470</v>
      </c>
      <c r="E698" s="184">
        <v>41039</v>
      </c>
      <c r="F698" s="189" t="s">
        <v>566</v>
      </c>
      <c r="G698" s="617" t="s">
        <v>701</v>
      </c>
      <c r="H698" s="7" t="s">
        <v>436</v>
      </c>
      <c r="I698" s="252"/>
      <c r="J698" s="252"/>
      <c r="K698" s="615">
        <v>2518635</v>
      </c>
      <c r="L698" s="616" t="s">
        <v>9</v>
      </c>
      <c r="M698" s="616" t="s">
        <v>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198">
        <v>5</v>
      </c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84">
        <v>41039</v>
      </c>
      <c r="D699" s="184" t="s">
        <v>471</v>
      </c>
      <c r="E699" s="184">
        <v>41039</v>
      </c>
      <c r="F699" s="189" t="s">
        <v>1295</v>
      </c>
      <c r="G699" s="617" t="s">
        <v>702</v>
      </c>
      <c r="H699" s="7" t="s">
        <v>436</v>
      </c>
      <c r="I699" s="252">
        <v>250</v>
      </c>
      <c r="J699" s="252">
        <v>22887</v>
      </c>
      <c r="K699" s="615">
        <v>5721750</v>
      </c>
      <c r="L699" s="194" t="s">
        <v>169</v>
      </c>
      <c r="M699" s="616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6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41039</v>
      </c>
      <c r="D700" s="184" t="s">
        <v>471</v>
      </c>
      <c r="E700" s="191">
        <v>41039</v>
      </c>
      <c r="F700" s="192" t="s">
        <v>1296</v>
      </c>
      <c r="G700" s="490" t="s">
        <v>702</v>
      </c>
      <c r="H700" s="7" t="s">
        <v>436</v>
      </c>
      <c r="I700" s="252">
        <v>100</v>
      </c>
      <c r="J700" s="252">
        <v>17625</v>
      </c>
      <c r="K700" s="615">
        <v>1762500</v>
      </c>
      <c r="L700" s="194" t="s">
        <v>169</v>
      </c>
      <c r="M700" s="616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6"/>
      <c r="AC700" s="849"/>
      <c r="AD700" s="849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41039</v>
      </c>
      <c r="D701" s="184" t="s">
        <v>471</v>
      </c>
      <c r="E701" s="191">
        <v>41039</v>
      </c>
      <c r="F701" s="192" t="s">
        <v>1297</v>
      </c>
      <c r="G701" s="490" t="s">
        <v>702</v>
      </c>
      <c r="H701" s="7" t="s">
        <v>436</v>
      </c>
      <c r="I701" s="252">
        <v>100</v>
      </c>
      <c r="J701" s="252">
        <v>14463</v>
      </c>
      <c r="K701" s="38">
        <v>1446300</v>
      </c>
      <c r="L701" s="194" t="s">
        <v>169</v>
      </c>
      <c r="M701" s="616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6"/>
      <c r="AC701" s="849"/>
      <c r="AD701" s="849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84">
        <v>41039</v>
      </c>
      <c r="D702" s="184" t="s">
        <v>471</v>
      </c>
      <c r="E702" s="184">
        <v>41039</v>
      </c>
      <c r="F702" s="189" t="s">
        <v>1298</v>
      </c>
      <c r="G702" s="617" t="s">
        <v>702</v>
      </c>
      <c r="H702" s="7" t="s">
        <v>436</v>
      </c>
      <c r="I702" s="252">
        <v>500</v>
      </c>
      <c r="J702" s="252">
        <v>18306</v>
      </c>
      <c r="K702" s="615">
        <v>9153000</v>
      </c>
      <c r="L702" s="194" t="s">
        <v>169</v>
      </c>
      <c r="M702" s="616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6"/>
      <c r="AC702" s="849"/>
      <c r="AD702" s="849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84">
        <v>41039</v>
      </c>
      <c r="D703" s="184" t="s">
        <v>471</v>
      </c>
      <c r="E703" s="184">
        <v>41039</v>
      </c>
      <c r="F703" s="189" t="s">
        <v>1296</v>
      </c>
      <c r="G703" s="617" t="s">
        <v>702</v>
      </c>
      <c r="H703" s="7" t="s">
        <v>436</v>
      </c>
      <c r="I703" s="252">
        <v>250</v>
      </c>
      <c r="J703" s="252">
        <v>18352</v>
      </c>
      <c r="K703" s="615">
        <v>4588000</v>
      </c>
      <c r="L703" s="194" t="s">
        <v>169</v>
      </c>
      <c r="M703" s="616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6"/>
      <c r="AC703" s="849"/>
      <c r="AD703" s="849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84">
        <v>41039</v>
      </c>
      <c r="D704" s="184" t="s">
        <v>471</v>
      </c>
      <c r="E704" s="184">
        <v>41039</v>
      </c>
      <c r="F704" s="189" t="s">
        <v>566</v>
      </c>
      <c r="G704" s="617" t="s">
        <v>702</v>
      </c>
      <c r="H704" s="7" t="s">
        <v>436</v>
      </c>
      <c r="I704" s="252"/>
      <c r="J704" s="252"/>
      <c r="K704" s="615">
        <v>2267155</v>
      </c>
      <c r="L704" s="616" t="s">
        <v>9</v>
      </c>
      <c r="M704" s="616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198">
        <v>5</v>
      </c>
      <c r="AC704" s="849"/>
      <c r="AD704" s="849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48"/>
        <v>5</v>
      </c>
      <c r="C705" s="191">
        <f>E705</f>
        <v>41039</v>
      </c>
      <c r="D705" s="191" t="s">
        <v>1608</v>
      </c>
      <c r="E705" s="191">
        <v>41039</v>
      </c>
      <c r="F705" s="192" t="s">
        <v>1201</v>
      </c>
      <c r="G705" s="490" t="s">
        <v>990</v>
      </c>
      <c r="H705" s="193" t="s">
        <v>958</v>
      </c>
      <c r="I705" s="252">
        <v>300</v>
      </c>
      <c r="J705" s="252">
        <v>6530</v>
      </c>
      <c r="K705" s="615">
        <f>ROUND(I705*J705,0)</f>
        <v>1959000</v>
      </c>
      <c r="L705" s="194" t="s">
        <v>284</v>
      </c>
      <c r="M705" s="194" t="s">
        <v>185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211"/>
      <c r="AB705" s="211"/>
      <c r="AC705" s="211"/>
      <c r="AD705" s="211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48"/>
        <v>5</v>
      </c>
      <c r="C706" s="191">
        <f>E706</f>
        <v>41039</v>
      </c>
      <c r="D706" s="191" t="s">
        <v>1608</v>
      </c>
      <c r="E706" s="191">
        <v>41039</v>
      </c>
      <c r="F706" s="192" t="s">
        <v>555</v>
      </c>
      <c r="G706" s="490" t="s">
        <v>990</v>
      </c>
      <c r="H706" s="193" t="s">
        <v>958</v>
      </c>
      <c r="I706" s="252"/>
      <c r="J706" s="252"/>
      <c r="K706" s="615">
        <v>195900</v>
      </c>
      <c r="L706" s="194" t="s">
        <v>284</v>
      </c>
      <c r="M706" s="194" t="s">
        <v>495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48"/>
        <v>5</v>
      </c>
      <c r="C707" s="191">
        <f>E707</f>
        <v>41039</v>
      </c>
      <c r="D707" s="191" t="s">
        <v>1649</v>
      </c>
      <c r="E707" s="191">
        <v>41039</v>
      </c>
      <c r="F707" s="192" t="s">
        <v>365</v>
      </c>
      <c r="G707" s="490" t="s">
        <v>990</v>
      </c>
      <c r="H707" s="193" t="s">
        <v>958</v>
      </c>
      <c r="I707" s="252"/>
      <c r="J707" s="252"/>
      <c r="K707" s="615">
        <v>2154900</v>
      </c>
      <c r="L707" s="194" t="s">
        <v>48</v>
      </c>
      <c r="M707" s="194" t="s">
        <v>284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>x</v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48"/>
        <v>5</v>
      </c>
      <c r="C708" s="191">
        <v>41040</v>
      </c>
      <c r="D708" s="184" t="s">
        <v>364</v>
      </c>
      <c r="E708" s="191">
        <v>41040</v>
      </c>
      <c r="F708" s="192" t="s">
        <v>400</v>
      </c>
      <c r="G708" s="490" t="s">
        <v>361</v>
      </c>
      <c r="H708" s="7" t="s">
        <v>436</v>
      </c>
      <c r="I708" s="252"/>
      <c r="J708" s="252"/>
      <c r="K708" s="38">
        <v>167598000</v>
      </c>
      <c r="L708" s="616" t="s">
        <v>8</v>
      </c>
      <c r="M708" s="194" t="s">
        <v>24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>x</v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C708" s="849"/>
      <c r="AD708" s="84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48"/>
        <v>5</v>
      </c>
      <c r="C709" s="191">
        <v>41040</v>
      </c>
      <c r="D709" s="184" t="s">
        <v>364</v>
      </c>
      <c r="E709" s="191">
        <v>41040</v>
      </c>
      <c r="F709" s="192" t="s">
        <v>366</v>
      </c>
      <c r="G709" s="490" t="s">
        <v>361</v>
      </c>
      <c r="H709" s="193"/>
      <c r="I709" s="252"/>
      <c r="J709" s="252"/>
      <c r="K709" s="38">
        <v>83799</v>
      </c>
      <c r="L709" s="194" t="s">
        <v>84</v>
      </c>
      <c r="M709" s="194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642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C709" s="849"/>
      <c r="AD709" s="84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48"/>
        <v>5</v>
      </c>
      <c r="C710" s="184">
        <v>41040</v>
      </c>
      <c r="D710" s="184" t="s">
        <v>439</v>
      </c>
      <c r="E710" s="184">
        <v>41040</v>
      </c>
      <c r="F710" s="189" t="s">
        <v>703</v>
      </c>
      <c r="G710" s="617" t="s">
        <v>704</v>
      </c>
      <c r="H710" s="193" t="s">
        <v>401</v>
      </c>
      <c r="I710" s="252"/>
      <c r="J710" s="252"/>
      <c r="K710" s="615">
        <v>2580000</v>
      </c>
      <c r="L710" s="616" t="s">
        <v>175</v>
      </c>
      <c r="M710" s="616" t="s">
        <v>48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>x</v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>154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C710" s="849"/>
      <c r="AD710" s="849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48"/>
        <v>5</v>
      </c>
      <c r="C711" s="184">
        <v>41040</v>
      </c>
      <c r="D711" s="184" t="s">
        <v>439</v>
      </c>
      <c r="E711" s="184">
        <v>41040</v>
      </c>
      <c r="F711" s="189" t="s">
        <v>372</v>
      </c>
      <c r="G711" s="617" t="s">
        <v>704</v>
      </c>
      <c r="H711" s="7" t="s">
        <v>401</v>
      </c>
      <c r="I711" s="252"/>
      <c r="J711" s="252"/>
      <c r="K711" s="615">
        <v>258000</v>
      </c>
      <c r="L711" s="616" t="s">
        <v>9</v>
      </c>
      <c r="M711" s="616" t="s">
        <v>48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>x</v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198">
        <v>5</v>
      </c>
      <c r="AC711" s="849"/>
      <c r="AD711" s="849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48"/>
        <v>5</v>
      </c>
      <c r="C712" s="184">
        <v>41040</v>
      </c>
      <c r="D712" s="184" t="s">
        <v>472</v>
      </c>
      <c r="E712" s="184">
        <v>41040</v>
      </c>
      <c r="F712" s="189" t="s">
        <v>1414</v>
      </c>
      <c r="G712" s="617" t="s">
        <v>705</v>
      </c>
      <c r="H712" s="7" t="s">
        <v>436</v>
      </c>
      <c r="I712" s="252">
        <v>500</v>
      </c>
      <c r="J712" s="252">
        <v>7510</v>
      </c>
      <c r="K712" s="615">
        <v>3755000</v>
      </c>
      <c r="L712" s="194" t="s">
        <v>169</v>
      </c>
      <c r="M712" s="616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6"/>
      <c r="AC712" s="849"/>
      <c r="AD712" s="849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48"/>
        <v>5</v>
      </c>
      <c r="C713" s="184">
        <v>41040</v>
      </c>
      <c r="D713" s="184" t="s">
        <v>472</v>
      </c>
      <c r="E713" s="184">
        <v>41040</v>
      </c>
      <c r="F713" s="189" t="s">
        <v>1415</v>
      </c>
      <c r="G713" s="617" t="s">
        <v>705</v>
      </c>
      <c r="H713" s="7" t="s">
        <v>436</v>
      </c>
      <c r="I713" s="252">
        <v>500</v>
      </c>
      <c r="J713" s="252">
        <v>8316</v>
      </c>
      <c r="K713" s="615">
        <v>4158000</v>
      </c>
      <c r="L713" s="194" t="s">
        <v>169</v>
      </c>
      <c r="M713" s="616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606"/>
      <c r="AC713" s="849"/>
      <c r="AD713" s="849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48"/>
        <v>5</v>
      </c>
      <c r="C714" s="184">
        <v>41040</v>
      </c>
      <c r="D714" s="184" t="s">
        <v>472</v>
      </c>
      <c r="E714" s="184">
        <v>41040</v>
      </c>
      <c r="F714" s="189" t="s">
        <v>1416</v>
      </c>
      <c r="G714" s="617" t="s">
        <v>705</v>
      </c>
      <c r="H714" s="7" t="s">
        <v>436</v>
      </c>
      <c r="I714" s="252">
        <v>150</v>
      </c>
      <c r="J714" s="252">
        <v>4864</v>
      </c>
      <c r="K714" s="615">
        <v>729600</v>
      </c>
      <c r="L714" s="194" t="s">
        <v>169</v>
      </c>
      <c r="M714" s="616" t="s">
        <v>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606"/>
      <c r="AC714" s="849"/>
      <c r="AD714" s="849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48"/>
        <v>5</v>
      </c>
      <c r="C715" s="191">
        <v>41040</v>
      </c>
      <c r="D715" s="184" t="s">
        <v>472</v>
      </c>
      <c r="E715" s="191">
        <v>41040</v>
      </c>
      <c r="F715" s="192" t="s">
        <v>1299</v>
      </c>
      <c r="G715" s="490" t="s">
        <v>705</v>
      </c>
      <c r="H715" s="7" t="s">
        <v>436</v>
      </c>
      <c r="I715" s="252">
        <v>500</v>
      </c>
      <c r="J715" s="252">
        <v>10775</v>
      </c>
      <c r="K715" s="38">
        <v>5387500</v>
      </c>
      <c r="L715" s="194" t="s">
        <v>169</v>
      </c>
      <c r="M715" s="616" t="s">
        <v>8</v>
      </c>
      <c r="N715" s="52" t="str">
        <f>IF(AND('331-CT'!$E$7=TH!H715,OR(L715="331",M715="331")),"331",IF(AND(OR(L715="131",M715="131"),H715='131-CT'!$E$7),"131",""))</f>
        <v>331</v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606"/>
      <c r="AC715" s="849"/>
      <c r="AD715" s="849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48"/>
        <v>5</v>
      </c>
      <c r="C716" s="191">
        <v>41040</v>
      </c>
      <c r="D716" s="184" t="s">
        <v>472</v>
      </c>
      <c r="E716" s="191">
        <v>41040</v>
      </c>
      <c r="F716" s="192" t="s">
        <v>1283</v>
      </c>
      <c r="G716" s="490" t="s">
        <v>705</v>
      </c>
      <c r="H716" s="7" t="s">
        <v>436</v>
      </c>
      <c r="I716" s="252">
        <v>100</v>
      </c>
      <c r="J716" s="252">
        <v>11150</v>
      </c>
      <c r="K716" s="38">
        <v>1115000</v>
      </c>
      <c r="L716" s="194" t="s">
        <v>169</v>
      </c>
      <c r="M716" s="616" t="s">
        <v>8</v>
      </c>
      <c r="N716" s="52" t="str">
        <f>IF(AND('331-CT'!$E$7=TH!H716,OR(L716="331",M716="331")),"331",IF(AND(OR(L716="131",M716="131"),H716='131-CT'!$E$7),"131",""))</f>
        <v>331</v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B716" s="606"/>
      <c r="AC716" s="849"/>
      <c r="AD716" s="849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48"/>
        <v>5</v>
      </c>
      <c r="C717" s="191">
        <v>41040</v>
      </c>
      <c r="D717" s="184" t="s">
        <v>472</v>
      </c>
      <c r="E717" s="191">
        <v>41040</v>
      </c>
      <c r="F717" s="192" t="s">
        <v>566</v>
      </c>
      <c r="G717" s="490" t="s">
        <v>705</v>
      </c>
      <c r="H717" s="7" t="s">
        <v>436</v>
      </c>
      <c r="I717" s="252"/>
      <c r="J717" s="252"/>
      <c r="K717" s="615">
        <v>1514510</v>
      </c>
      <c r="L717" s="194" t="s">
        <v>9</v>
      </c>
      <c r="M717" s="616" t="s">
        <v>8</v>
      </c>
      <c r="N717" s="52" t="str">
        <f>IF(AND('331-CT'!$E$7=TH!H717,OR(L717="331",M717="331")),"331",IF(AND(OR(L717="131",M717="131"),H717='131-CT'!$E$7),"131",""))</f>
        <v>331</v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198">
        <v>5</v>
      </c>
      <c r="AC717" s="849"/>
      <c r="AD717" s="849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48"/>
        <v>5</v>
      </c>
      <c r="C718" s="191">
        <v>41040</v>
      </c>
      <c r="D718" s="184" t="s">
        <v>441</v>
      </c>
      <c r="E718" s="191">
        <v>41040</v>
      </c>
      <c r="F718" s="192" t="s">
        <v>400</v>
      </c>
      <c r="G718" s="490" t="s">
        <v>705</v>
      </c>
      <c r="H718" s="7" t="s">
        <v>436</v>
      </c>
      <c r="I718" s="252"/>
      <c r="J718" s="252"/>
      <c r="K718" s="615">
        <v>16659610</v>
      </c>
      <c r="L718" s="616" t="s">
        <v>8</v>
      </c>
      <c r="M718" s="616" t="s">
        <v>48</v>
      </c>
      <c r="N718" s="52" t="str">
        <f>IF(AND('331-CT'!$E$7=TH!H718,OR(L718="331",M718="331")),"331",IF(AND(OR(L718="131",M718="131"),H718='131-CT'!$E$7),"131",""))</f>
        <v>331</v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C718" s="849"/>
      <c r="AD718" s="849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48"/>
        <v>5</v>
      </c>
      <c r="C719" s="191">
        <v>41040</v>
      </c>
      <c r="D719" s="184" t="s">
        <v>473</v>
      </c>
      <c r="E719" s="191">
        <v>41040</v>
      </c>
      <c r="F719" s="192" t="s">
        <v>1394</v>
      </c>
      <c r="G719" s="490" t="s">
        <v>706</v>
      </c>
      <c r="H719" s="7" t="s">
        <v>436</v>
      </c>
      <c r="I719" s="252">
        <v>100</v>
      </c>
      <c r="J719" s="252">
        <v>19819</v>
      </c>
      <c r="K719" s="38">
        <v>1981900</v>
      </c>
      <c r="L719" s="194" t="s">
        <v>169</v>
      </c>
      <c r="M719" s="616" t="s">
        <v>8</v>
      </c>
      <c r="N719" s="52" t="str">
        <f>IF(AND('331-CT'!$E$7=TH!H719,OR(L719="331",M719="331")),"331",IF(AND(OR(L719="131",M719="131"),H719='131-CT'!$E$7),"131",""))</f>
        <v>331</v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606"/>
      <c r="AC719" s="849"/>
      <c r="AD719" s="849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48"/>
        <v>5</v>
      </c>
      <c r="C720" s="191">
        <v>41040</v>
      </c>
      <c r="D720" s="184" t="s">
        <v>473</v>
      </c>
      <c r="E720" s="191">
        <v>41040</v>
      </c>
      <c r="F720" s="192" t="s">
        <v>1417</v>
      </c>
      <c r="G720" s="488" t="s">
        <v>706</v>
      </c>
      <c r="H720" s="7" t="s">
        <v>436</v>
      </c>
      <c r="I720" s="254">
        <v>50</v>
      </c>
      <c r="J720" s="252">
        <v>22224</v>
      </c>
      <c r="K720" s="38">
        <v>1111200</v>
      </c>
      <c r="L720" s="194" t="s">
        <v>169</v>
      </c>
      <c r="M720" s="616" t="s">
        <v>8</v>
      </c>
      <c r="N720" s="52" t="str">
        <f>IF(AND('331-CT'!$E$7=TH!H720,OR(L720="331",M720="331")),"331",IF(AND(OR(L720="131",M720="131"),H720='131-CT'!$E$7),"131",""))</f>
        <v>331</v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606"/>
      <c r="AC720" s="849"/>
      <c r="AD720" s="84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48"/>
        <v>5</v>
      </c>
      <c r="C721" s="191">
        <v>41040</v>
      </c>
      <c r="D721" s="184" t="s">
        <v>473</v>
      </c>
      <c r="E721" s="191">
        <v>41040</v>
      </c>
      <c r="F721" s="192" t="s">
        <v>1410</v>
      </c>
      <c r="G721" s="488" t="s">
        <v>706</v>
      </c>
      <c r="H721" s="7" t="s">
        <v>436</v>
      </c>
      <c r="I721" s="254">
        <v>200</v>
      </c>
      <c r="J721" s="252">
        <v>12241</v>
      </c>
      <c r="K721" s="38">
        <v>2448200</v>
      </c>
      <c r="L721" s="194" t="s">
        <v>169</v>
      </c>
      <c r="M721" s="616" t="s">
        <v>8</v>
      </c>
      <c r="N721" s="52" t="str">
        <f>IF(AND('331-CT'!$E$7=TH!H721,OR(L721="331",M721="331")),"331",IF(AND(OR(L721="131",M721="131"),H721='131-CT'!$E$7),"131",""))</f>
        <v>331</v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606"/>
      <c r="AC721" s="849"/>
      <c r="AD721" s="84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48"/>
        <v>5</v>
      </c>
      <c r="C722" s="191">
        <v>41040</v>
      </c>
      <c r="D722" s="184" t="s">
        <v>473</v>
      </c>
      <c r="E722" s="191">
        <v>41040</v>
      </c>
      <c r="F722" s="189" t="s">
        <v>1418</v>
      </c>
      <c r="G722" s="490" t="s">
        <v>706</v>
      </c>
      <c r="H722" s="7" t="s">
        <v>436</v>
      </c>
      <c r="I722" s="252">
        <v>200</v>
      </c>
      <c r="J722" s="252">
        <v>14000</v>
      </c>
      <c r="K722" s="615">
        <v>2800000</v>
      </c>
      <c r="L722" s="194" t="s">
        <v>169</v>
      </c>
      <c r="M722" s="616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6"/>
      <c r="AC722" s="849"/>
      <c r="AD722" s="84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48"/>
        <v>5</v>
      </c>
      <c r="C723" s="191">
        <v>41040</v>
      </c>
      <c r="D723" s="184" t="s">
        <v>473</v>
      </c>
      <c r="E723" s="191">
        <v>41040</v>
      </c>
      <c r="F723" s="189" t="s">
        <v>1419</v>
      </c>
      <c r="G723" s="490" t="s">
        <v>706</v>
      </c>
      <c r="H723" s="7" t="s">
        <v>436</v>
      </c>
      <c r="I723" s="252">
        <v>100</v>
      </c>
      <c r="J723" s="252">
        <v>14562</v>
      </c>
      <c r="K723" s="38">
        <v>1456200</v>
      </c>
      <c r="L723" s="194" t="s">
        <v>169</v>
      </c>
      <c r="M723" s="616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6"/>
      <c r="AC723" s="849"/>
      <c r="AD723" s="84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48"/>
        <v>5</v>
      </c>
      <c r="C724" s="191">
        <v>41040</v>
      </c>
      <c r="D724" s="184" t="s">
        <v>473</v>
      </c>
      <c r="E724" s="191">
        <v>41040</v>
      </c>
      <c r="F724" s="192" t="s">
        <v>1420</v>
      </c>
      <c r="G724" s="490" t="s">
        <v>706</v>
      </c>
      <c r="H724" s="7" t="s">
        <v>436</v>
      </c>
      <c r="I724" s="254">
        <v>200</v>
      </c>
      <c r="J724" s="254">
        <v>15618</v>
      </c>
      <c r="K724" s="38">
        <v>3123600</v>
      </c>
      <c r="L724" s="194" t="s">
        <v>169</v>
      </c>
      <c r="M724" s="616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6"/>
      <c r="AC724" s="849"/>
      <c r="AD724" s="84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ref="B725:B788" si="51">IF(C725&lt;&gt;"",MONTH(C725),"")</f>
        <v>5</v>
      </c>
      <c r="C725" s="191">
        <v>41040</v>
      </c>
      <c r="D725" s="184" t="s">
        <v>473</v>
      </c>
      <c r="E725" s="191">
        <v>41040</v>
      </c>
      <c r="F725" s="192" t="s">
        <v>566</v>
      </c>
      <c r="G725" s="490" t="s">
        <v>706</v>
      </c>
      <c r="H725" s="7" t="s">
        <v>436</v>
      </c>
      <c r="I725" s="252"/>
      <c r="J725" s="252"/>
      <c r="K725" s="38">
        <v>1292110</v>
      </c>
      <c r="L725" s="194" t="s">
        <v>9</v>
      </c>
      <c r="M725" s="616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198">
        <v>5</v>
      </c>
      <c r="AC725" s="849"/>
      <c r="AD725" s="84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41040</v>
      </c>
      <c r="D726" s="184" t="s">
        <v>442</v>
      </c>
      <c r="E726" s="191">
        <v>41040</v>
      </c>
      <c r="F726" s="192" t="s">
        <v>400</v>
      </c>
      <c r="G726" s="490" t="s">
        <v>706</v>
      </c>
      <c r="H726" s="7" t="s">
        <v>436</v>
      </c>
      <c r="I726" s="252"/>
      <c r="J726" s="252"/>
      <c r="K726" s="38">
        <v>14213210</v>
      </c>
      <c r="L726" s="616" t="s">
        <v>8</v>
      </c>
      <c r="M726" s="616" t="s">
        <v>48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>x</v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C726" s="849"/>
      <c r="AD726" s="84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84">
        <v>41041</v>
      </c>
      <c r="D727" s="184" t="s">
        <v>474</v>
      </c>
      <c r="E727" s="184">
        <v>41041</v>
      </c>
      <c r="F727" s="189" t="s">
        <v>1421</v>
      </c>
      <c r="G727" s="617" t="s">
        <v>707</v>
      </c>
      <c r="H727" s="7" t="s">
        <v>436</v>
      </c>
      <c r="I727" s="252">
        <v>50</v>
      </c>
      <c r="J727" s="252">
        <v>17408</v>
      </c>
      <c r="K727" s="615">
        <v>870400</v>
      </c>
      <c r="L727" s="194" t="s">
        <v>169</v>
      </c>
      <c r="M727" s="616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6"/>
      <c r="AC727" s="849"/>
      <c r="AD727" s="849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84">
        <v>41041</v>
      </c>
      <c r="D728" s="184" t="s">
        <v>474</v>
      </c>
      <c r="E728" s="184">
        <v>41041</v>
      </c>
      <c r="F728" s="189" t="s">
        <v>1368</v>
      </c>
      <c r="G728" s="617" t="s">
        <v>707</v>
      </c>
      <c r="H728" s="7" t="s">
        <v>436</v>
      </c>
      <c r="I728" s="252">
        <v>500</v>
      </c>
      <c r="J728" s="252">
        <v>11227</v>
      </c>
      <c r="K728" s="615">
        <v>5613500</v>
      </c>
      <c r="L728" s="194" t="s">
        <v>169</v>
      </c>
      <c r="M728" s="616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6"/>
      <c r="AC728" s="849"/>
      <c r="AD728" s="849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41041</v>
      </c>
      <c r="D729" s="184" t="s">
        <v>474</v>
      </c>
      <c r="E729" s="184">
        <v>41041</v>
      </c>
      <c r="F729" s="189" t="s">
        <v>1422</v>
      </c>
      <c r="G729" s="617" t="s">
        <v>707</v>
      </c>
      <c r="H729" s="7" t="s">
        <v>436</v>
      </c>
      <c r="I729" s="252">
        <v>730</v>
      </c>
      <c r="J729" s="252">
        <v>9122</v>
      </c>
      <c r="K729" s="615">
        <v>6659060</v>
      </c>
      <c r="L729" s="194" t="s">
        <v>169</v>
      </c>
      <c r="M729" s="616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6"/>
      <c r="AC729" s="849"/>
      <c r="AD729" s="849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41041</v>
      </c>
      <c r="D730" s="184" t="s">
        <v>474</v>
      </c>
      <c r="E730" s="184">
        <v>41041</v>
      </c>
      <c r="F730" s="189" t="s">
        <v>1300</v>
      </c>
      <c r="G730" s="617" t="s">
        <v>707</v>
      </c>
      <c r="H730" s="7" t="s">
        <v>436</v>
      </c>
      <c r="I730" s="252">
        <v>100</v>
      </c>
      <c r="J730" s="252">
        <v>18559</v>
      </c>
      <c r="K730" s="615">
        <v>1855900</v>
      </c>
      <c r="L730" s="194" t="s">
        <v>169</v>
      </c>
      <c r="M730" s="616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B730" s="606"/>
      <c r="AC730" s="849"/>
      <c r="AD730" s="849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91">
        <v>41041</v>
      </c>
      <c r="D731" s="184" t="s">
        <v>474</v>
      </c>
      <c r="E731" s="191">
        <v>41041</v>
      </c>
      <c r="F731" s="297" t="s">
        <v>1301</v>
      </c>
      <c r="G731" s="490" t="s">
        <v>707</v>
      </c>
      <c r="H731" s="7" t="s">
        <v>436</v>
      </c>
      <c r="I731" s="252">
        <v>100</v>
      </c>
      <c r="J731" s="252">
        <v>25240</v>
      </c>
      <c r="K731" s="615">
        <v>2524000</v>
      </c>
      <c r="L731" s="194" t="s">
        <v>169</v>
      </c>
      <c r="M731" s="616" t="s">
        <v>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B731" s="606"/>
      <c r="AC731" s="849"/>
      <c r="AD731" s="849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91">
        <v>41041</v>
      </c>
      <c r="D732" s="184" t="s">
        <v>474</v>
      </c>
      <c r="E732" s="191">
        <v>41041</v>
      </c>
      <c r="F732" s="297" t="s">
        <v>1302</v>
      </c>
      <c r="G732" s="490" t="s">
        <v>707</v>
      </c>
      <c r="H732" s="7" t="s">
        <v>436</v>
      </c>
      <c r="I732" s="254">
        <v>100</v>
      </c>
      <c r="J732" s="254">
        <v>30012</v>
      </c>
      <c r="K732" s="38">
        <v>3001200</v>
      </c>
      <c r="L732" s="194" t="s">
        <v>169</v>
      </c>
      <c r="M732" s="616" t="s">
        <v>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B732" s="606"/>
      <c r="AC732" s="849"/>
      <c r="AD732" s="849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91">
        <v>41041</v>
      </c>
      <c r="D733" s="184" t="s">
        <v>474</v>
      </c>
      <c r="E733" s="191">
        <v>41041</v>
      </c>
      <c r="F733" s="297" t="s">
        <v>566</v>
      </c>
      <c r="G733" s="490" t="s">
        <v>707</v>
      </c>
      <c r="H733" s="7" t="s">
        <v>436</v>
      </c>
      <c r="I733" s="254"/>
      <c r="J733" s="254"/>
      <c r="K733" s="615">
        <v>2052406</v>
      </c>
      <c r="L733" s="194" t="s">
        <v>9</v>
      </c>
      <c r="M733" s="616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198">
        <v>5</v>
      </c>
      <c r="AC733" s="849"/>
      <c r="AD733" s="849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91">
        <f t="shared" ref="C734:C742" si="52">E734</f>
        <v>41041</v>
      </c>
      <c r="D734" s="184" t="s">
        <v>443</v>
      </c>
      <c r="E734" s="191">
        <v>41041</v>
      </c>
      <c r="F734" s="192" t="s">
        <v>400</v>
      </c>
      <c r="G734" s="490" t="s">
        <v>707</v>
      </c>
      <c r="H734" s="7" t="s">
        <v>436</v>
      </c>
      <c r="I734" s="254"/>
      <c r="J734" s="254"/>
      <c r="K734" s="615">
        <v>11000000</v>
      </c>
      <c r="L734" s="616" t="s">
        <v>8</v>
      </c>
      <c r="M734" s="616" t="s">
        <v>48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C734" s="849"/>
      <c r="AD734" s="849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91">
        <f t="shared" si="52"/>
        <v>41041</v>
      </c>
      <c r="D735" s="191" t="s">
        <v>1609</v>
      </c>
      <c r="E735" s="191">
        <v>41041</v>
      </c>
      <c r="F735" s="192" t="s">
        <v>1174</v>
      </c>
      <c r="G735" s="490" t="s">
        <v>991</v>
      </c>
      <c r="H735" s="193" t="s">
        <v>992</v>
      </c>
      <c r="I735" s="252">
        <v>1025</v>
      </c>
      <c r="J735" s="252">
        <v>6800</v>
      </c>
      <c r="K735" s="615">
        <f>ROUND(I735*J735,0)</f>
        <v>6970000</v>
      </c>
      <c r="L735" s="194" t="s">
        <v>284</v>
      </c>
      <c r="M735" s="194" t="s">
        <v>185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211"/>
      <c r="AB735" s="211"/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f t="shared" si="52"/>
        <v>41041</v>
      </c>
      <c r="D736" s="191" t="s">
        <v>1609</v>
      </c>
      <c r="E736" s="191">
        <v>41041</v>
      </c>
      <c r="F736" s="192" t="s">
        <v>555</v>
      </c>
      <c r="G736" s="490" t="s">
        <v>991</v>
      </c>
      <c r="H736" s="193" t="s">
        <v>992</v>
      </c>
      <c r="I736" s="252"/>
      <c r="J736" s="252"/>
      <c r="K736" s="615">
        <v>697000</v>
      </c>
      <c r="L736" s="194" t="s">
        <v>284</v>
      </c>
      <c r="M736" s="194" t="s">
        <v>495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f t="shared" si="52"/>
        <v>41041</v>
      </c>
      <c r="D737" s="191" t="s">
        <v>1650</v>
      </c>
      <c r="E737" s="191">
        <v>41041</v>
      </c>
      <c r="F737" s="192" t="s">
        <v>365</v>
      </c>
      <c r="G737" s="490" t="s">
        <v>991</v>
      </c>
      <c r="H737" s="193" t="s">
        <v>992</v>
      </c>
      <c r="I737" s="252"/>
      <c r="J737" s="252"/>
      <c r="K737" s="615">
        <v>7667000</v>
      </c>
      <c r="L737" s="194" t="s">
        <v>48</v>
      </c>
      <c r="M737" s="194" t="s">
        <v>284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>x</v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f t="shared" si="52"/>
        <v>41041</v>
      </c>
      <c r="D738" s="191" t="s">
        <v>1610</v>
      </c>
      <c r="E738" s="191">
        <v>41041</v>
      </c>
      <c r="F738" s="192" t="s">
        <v>1136</v>
      </c>
      <c r="G738" s="490" t="s">
        <v>993</v>
      </c>
      <c r="H738" s="7" t="s">
        <v>632</v>
      </c>
      <c r="I738" s="252">
        <v>27</v>
      </c>
      <c r="J738" s="252">
        <v>9880</v>
      </c>
      <c r="K738" s="615">
        <f>ROUND(I738*J738,0)</f>
        <v>266760</v>
      </c>
      <c r="L738" s="194" t="s">
        <v>284</v>
      </c>
      <c r="M738" s="194" t="s">
        <v>185</v>
      </c>
      <c r="N738" s="52" t="str">
        <f>IF(AND('331-CT'!$E$7=TH!H738,OR(L738="331",M738="331")),"331",IF(AND(OR(L738="131",M738="131"),H738='131-CT'!$E$7),"131",""))</f>
        <v>131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211"/>
      <c r="AB738" s="211"/>
      <c r="AC738" s="211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f t="shared" si="52"/>
        <v>41041</v>
      </c>
      <c r="D739" s="191" t="s">
        <v>1610</v>
      </c>
      <c r="E739" s="191">
        <v>41041</v>
      </c>
      <c r="F739" s="192" t="s">
        <v>1118</v>
      </c>
      <c r="G739" s="490" t="s">
        <v>993</v>
      </c>
      <c r="H739" s="7" t="s">
        <v>632</v>
      </c>
      <c r="I739" s="252">
        <v>1350</v>
      </c>
      <c r="J739" s="252">
        <v>5600</v>
      </c>
      <c r="K739" s="615">
        <f>ROUND(I739*J739,0)</f>
        <v>7560000</v>
      </c>
      <c r="L739" s="194" t="s">
        <v>284</v>
      </c>
      <c r="M739" s="194" t="s">
        <v>185</v>
      </c>
      <c r="N739" s="52" t="str">
        <f>IF(AND('331-CT'!$E$7=TH!H739,OR(L739="331",M739="331")),"331",IF(AND(OR(L739="131",M739="131"),H739='131-CT'!$E$7),"131",""))</f>
        <v>131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211"/>
      <c r="AB739" s="211"/>
      <c r="AC739" s="211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f t="shared" si="52"/>
        <v>41041</v>
      </c>
      <c r="D740" s="191" t="s">
        <v>1610</v>
      </c>
      <c r="E740" s="191">
        <v>41041</v>
      </c>
      <c r="F740" s="192" t="s">
        <v>1133</v>
      </c>
      <c r="G740" s="490" t="s">
        <v>993</v>
      </c>
      <c r="H740" s="7" t="s">
        <v>632</v>
      </c>
      <c r="I740" s="252">
        <v>200</v>
      </c>
      <c r="J740" s="252">
        <v>9000</v>
      </c>
      <c r="K740" s="615">
        <f>ROUND(I740*J740,0)</f>
        <v>1800000</v>
      </c>
      <c r="L740" s="194" t="s">
        <v>284</v>
      </c>
      <c r="M740" s="194" t="s">
        <v>185</v>
      </c>
      <c r="N740" s="52" t="str">
        <f>IF(AND('331-CT'!$E$7=TH!H740,OR(L740="331",M740="331")),"331",IF(AND(OR(L740="131",M740="131"),H740='131-CT'!$E$7),"131",""))</f>
        <v>131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211"/>
      <c r="AB740" s="211"/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f t="shared" si="52"/>
        <v>41041</v>
      </c>
      <c r="D741" s="191" t="s">
        <v>1610</v>
      </c>
      <c r="E741" s="191">
        <v>41041</v>
      </c>
      <c r="F741" s="192" t="s">
        <v>1131</v>
      </c>
      <c r="G741" s="490" t="s">
        <v>993</v>
      </c>
      <c r="H741" s="7" t="s">
        <v>632</v>
      </c>
      <c r="I741" s="252">
        <v>89</v>
      </c>
      <c r="J741" s="252">
        <v>13320</v>
      </c>
      <c r="K741" s="615">
        <f>ROUND(I741*J741,0)</f>
        <v>1185480</v>
      </c>
      <c r="L741" s="194" t="s">
        <v>284</v>
      </c>
      <c r="M741" s="194" t="s">
        <v>185</v>
      </c>
      <c r="N741" s="52" t="str">
        <f>IF(AND('331-CT'!$E$7=TH!H741,OR(L741="331",M741="331")),"331",IF(AND(OR(L741="131",M741="131"),H741='131-CT'!$E$7),"131",""))</f>
        <v>131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211"/>
      <c r="AB741" s="211"/>
      <c r="AC741" s="211"/>
      <c r="AD741" s="211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91">
        <f t="shared" si="52"/>
        <v>41041</v>
      </c>
      <c r="D742" s="191" t="s">
        <v>1610</v>
      </c>
      <c r="E742" s="191">
        <v>41041</v>
      </c>
      <c r="F742" s="192" t="s">
        <v>555</v>
      </c>
      <c r="G742" s="490" t="s">
        <v>993</v>
      </c>
      <c r="H742" s="7" t="s">
        <v>632</v>
      </c>
      <c r="I742" s="252"/>
      <c r="J742" s="252"/>
      <c r="K742" s="615">
        <v>1081224</v>
      </c>
      <c r="L742" s="194" t="s">
        <v>284</v>
      </c>
      <c r="M742" s="194" t="s">
        <v>495</v>
      </c>
      <c r="N742" s="52" t="str">
        <f>IF(AND('331-CT'!$E$7=TH!H742,OR(L742="331",M742="331")),"331",IF(AND(OR(L742="131",M742="131"),H742='131-CT'!$E$7),"131",""))</f>
        <v>131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91">
        <v>41043</v>
      </c>
      <c r="D743" s="184" t="s">
        <v>475</v>
      </c>
      <c r="E743" s="191">
        <v>41043</v>
      </c>
      <c r="F743" s="192" t="s">
        <v>1422</v>
      </c>
      <c r="G743" s="490" t="s">
        <v>708</v>
      </c>
      <c r="H743" s="7" t="s">
        <v>436</v>
      </c>
      <c r="I743" s="252">
        <v>270</v>
      </c>
      <c r="J743" s="252">
        <v>9122</v>
      </c>
      <c r="K743" s="38">
        <v>2462940</v>
      </c>
      <c r="L743" s="194" t="s">
        <v>169</v>
      </c>
      <c r="M743" s="616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B743" s="606"/>
      <c r="AC743" s="849"/>
      <c r="AD743" s="849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v>41043</v>
      </c>
      <c r="D744" s="184" t="s">
        <v>475</v>
      </c>
      <c r="E744" s="191">
        <v>41043</v>
      </c>
      <c r="F744" s="192" t="s">
        <v>1288</v>
      </c>
      <c r="G744" s="490" t="s">
        <v>708</v>
      </c>
      <c r="H744" s="7" t="s">
        <v>436</v>
      </c>
      <c r="I744" s="252">
        <v>500</v>
      </c>
      <c r="J744" s="252">
        <v>12227</v>
      </c>
      <c r="K744" s="38">
        <v>6113500</v>
      </c>
      <c r="L744" s="194" t="s">
        <v>169</v>
      </c>
      <c r="M744" s="616" t="s">
        <v>8</v>
      </c>
      <c r="N744" s="52" t="str">
        <f>IF(AND('331-CT'!$E$7=TH!H744,OR(L744="331",M744="331")),"331",IF(AND(OR(L744="131",M744="131"),H744='131-CT'!$E$7),"131",""))</f>
        <v>331</v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B744" s="606"/>
      <c r="AC744" s="849"/>
      <c r="AD744" s="84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84">
        <v>41043</v>
      </c>
      <c r="D745" s="184" t="s">
        <v>475</v>
      </c>
      <c r="E745" s="184">
        <v>41043</v>
      </c>
      <c r="F745" s="189" t="s">
        <v>1303</v>
      </c>
      <c r="G745" s="617" t="s">
        <v>708</v>
      </c>
      <c r="H745" s="7" t="s">
        <v>436</v>
      </c>
      <c r="I745" s="252">
        <v>200</v>
      </c>
      <c r="J745" s="252">
        <v>23102</v>
      </c>
      <c r="K745" s="615">
        <v>4620400</v>
      </c>
      <c r="L745" s="194" t="s">
        <v>169</v>
      </c>
      <c r="M745" s="616" t="s">
        <v>8</v>
      </c>
      <c r="N745" s="52" t="str">
        <f>IF(AND('331-CT'!$E$7=TH!H745,OR(L745="331",M745="331")),"331",IF(AND(OR(L745="131",M745="131"),H745='131-CT'!$E$7),"131",""))</f>
        <v>331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B745" s="606"/>
      <c r="AC745" s="849"/>
      <c r="AD745" s="849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v>41043</v>
      </c>
      <c r="D746" s="184" t="s">
        <v>475</v>
      </c>
      <c r="E746" s="191">
        <v>41043</v>
      </c>
      <c r="F746" s="189" t="s">
        <v>1304</v>
      </c>
      <c r="G746" s="691" t="s">
        <v>708</v>
      </c>
      <c r="H746" s="7" t="s">
        <v>436</v>
      </c>
      <c r="I746" s="252">
        <v>410</v>
      </c>
      <c r="J746" s="252">
        <v>12620</v>
      </c>
      <c r="K746" s="615">
        <v>5174200</v>
      </c>
      <c r="L746" s="194" t="s">
        <v>169</v>
      </c>
      <c r="M746" s="616" t="s">
        <v>8</v>
      </c>
      <c r="N746" s="52" t="str">
        <f>IF(AND('331-CT'!$E$7=TH!H746,OR(L746="331",M746="331")),"331",IF(AND(OR(L746="131",M746="131"),H746='131-CT'!$E$7),"131",""))</f>
        <v>331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B746" s="606"/>
      <c r="AC746" s="849"/>
      <c r="AD746" s="849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v>41043</v>
      </c>
      <c r="D747" s="184" t="s">
        <v>475</v>
      </c>
      <c r="E747" s="191">
        <v>41043</v>
      </c>
      <c r="F747" s="189" t="s">
        <v>1305</v>
      </c>
      <c r="G747" s="691" t="s">
        <v>708</v>
      </c>
      <c r="H747" s="7" t="s">
        <v>436</v>
      </c>
      <c r="I747" s="252">
        <v>1232</v>
      </c>
      <c r="J747" s="252">
        <v>17539</v>
      </c>
      <c r="K747" s="615">
        <v>21608048</v>
      </c>
      <c r="L747" s="194" t="s">
        <v>169</v>
      </c>
      <c r="M747" s="616" t="s">
        <v>8</v>
      </c>
      <c r="N747" s="52" t="str">
        <f>IF(AND('331-CT'!$E$7=TH!H747,OR(L747="331",M747="331")),"331",IF(AND(OR(L747="131",M747="131"),H747='131-CT'!$E$7),"131",""))</f>
        <v>331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B747" s="606"/>
      <c r="AC747" s="849"/>
      <c r="AD747" s="849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v>41043</v>
      </c>
      <c r="D748" s="184" t="s">
        <v>475</v>
      </c>
      <c r="E748" s="191">
        <v>41043</v>
      </c>
      <c r="F748" s="192" t="s">
        <v>1306</v>
      </c>
      <c r="G748" s="691" t="s">
        <v>708</v>
      </c>
      <c r="H748" s="7" t="s">
        <v>436</v>
      </c>
      <c r="I748" s="252">
        <v>250</v>
      </c>
      <c r="J748" s="252">
        <v>15680</v>
      </c>
      <c r="K748" s="38">
        <v>3920000</v>
      </c>
      <c r="L748" s="194" t="s">
        <v>169</v>
      </c>
      <c r="M748" s="616" t="s">
        <v>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B748" s="606"/>
      <c r="AC748" s="849"/>
      <c r="AD748" s="849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91">
        <v>41043</v>
      </c>
      <c r="D749" s="184" t="s">
        <v>475</v>
      </c>
      <c r="E749" s="833">
        <v>41043</v>
      </c>
      <c r="F749" s="192" t="s">
        <v>1304</v>
      </c>
      <c r="G749" s="490" t="s">
        <v>708</v>
      </c>
      <c r="H749" s="7" t="s">
        <v>436</v>
      </c>
      <c r="I749" s="256">
        <v>90</v>
      </c>
      <c r="J749" s="256">
        <v>12620</v>
      </c>
      <c r="K749" s="871">
        <v>1135800</v>
      </c>
      <c r="L749" s="194" t="s">
        <v>169</v>
      </c>
      <c r="M749" s="616" t="s">
        <v>8</v>
      </c>
      <c r="N749" s="52" t="str">
        <f>IF(AND('331-CT'!$E$7=TH!H749,OR(L749="331",M749="331")),"331",IF(AND(OR(L749="131",M749="131"),H749='131-CT'!$E$7),"131",""))</f>
        <v>331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B749" s="606"/>
      <c r="AC749" s="849"/>
      <c r="AD749" s="849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84">
        <v>41043</v>
      </c>
      <c r="D750" s="184" t="s">
        <v>475</v>
      </c>
      <c r="E750" s="184">
        <v>41043</v>
      </c>
      <c r="F750" s="189" t="s">
        <v>1283</v>
      </c>
      <c r="G750" s="617" t="s">
        <v>708</v>
      </c>
      <c r="H750" s="7" t="s">
        <v>436</v>
      </c>
      <c r="I750" s="252">
        <v>250</v>
      </c>
      <c r="J750" s="252">
        <v>11150</v>
      </c>
      <c r="K750" s="615">
        <v>2787500</v>
      </c>
      <c r="L750" s="194" t="s">
        <v>169</v>
      </c>
      <c r="M750" s="616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6"/>
      <c r="AC750" s="849"/>
      <c r="AD750" s="849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84">
        <v>41043</v>
      </c>
      <c r="D751" s="184" t="s">
        <v>475</v>
      </c>
      <c r="E751" s="184">
        <v>41043</v>
      </c>
      <c r="F751" s="189" t="s">
        <v>566</v>
      </c>
      <c r="G751" s="617" t="s">
        <v>708</v>
      </c>
      <c r="H751" s="7" t="s">
        <v>436</v>
      </c>
      <c r="I751" s="252"/>
      <c r="J751" s="252"/>
      <c r="K751" s="615">
        <v>4782239</v>
      </c>
      <c r="L751" s="616" t="s">
        <v>9</v>
      </c>
      <c r="M751" s="616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198">
        <v>5</v>
      </c>
      <c r="AC751" s="849"/>
      <c r="AD751" s="849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84">
        <f>E752</f>
        <v>41043</v>
      </c>
      <c r="D752" s="184" t="s">
        <v>444</v>
      </c>
      <c r="E752" s="184">
        <v>41043</v>
      </c>
      <c r="F752" s="192" t="s">
        <v>400</v>
      </c>
      <c r="G752" s="617" t="s">
        <v>708</v>
      </c>
      <c r="H752" s="7" t="s">
        <v>436</v>
      </c>
      <c r="I752" s="252"/>
      <c r="J752" s="252"/>
      <c r="K752" s="615">
        <v>17800000</v>
      </c>
      <c r="L752" s="616" t="s">
        <v>8</v>
      </c>
      <c r="M752" s="616" t="s">
        <v>48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>x</v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C752" s="849"/>
      <c r="AD752" s="849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84">
        <f>E753</f>
        <v>41044</v>
      </c>
      <c r="D753" s="184" t="s">
        <v>446</v>
      </c>
      <c r="E753" s="191">
        <v>41044</v>
      </c>
      <c r="F753" s="192" t="s">
        <v>400</v>
      </c>
      <c r="G753" s="490" t="s">
        <v>687</v>
      </c>
      <c r="H753" s="7" t="s">
        <v>436</v>
      </c>
      <c r="I753" s="254"/>
      <c r="J753" s="254"/>
      <c r="K753" s="615">
        <v>15087530</v>
      </c>
      <c r="L753" s="194" t="s">
        <v>8</v>
      </c>
      <c r="M753" s="616" t="s">
        <v>48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>x</v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606"/>
      <c r="AB753" s="211"/>
      <c r="AC753" s="849"/>
      <c r="AD753" s="849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84">
        <v>41044</v>
      </c>
      <c r="D754" s="184" t="s">
        <v>476</v>
      </c>
      <c r="E754" s="184">
        <v>41044</v>
      </c>
      <c r="F754" s="189" t="s">
        <v>1386</v>
      </c>
      <c r="G754" s="617" t="s">
        <v>709</v>
      </c>
      <c r="H754" s="7" t="s">
        <v>436</v>
      </c>
      <c r="I754" s="252">
        <v>300</v>
      </c>
      <c r="J754" s="252">
        <v>11176</v>
      </c>
      <c r="K754" s="615">
        <v>3352800</v>
      </c>
      <c r="L754" s="194" t="s">
        <v>169</v>
      </c>
      <c r="M754" s="616" t="s">
        <v>8</v>
      </c>
      <c r="N754" s="52" t="str">
        <f>IF(AND('331-CT'!$E$7=TH!H754,OR(L754="331",M754="331")),"331",IF(AND(OR(L754="131",M754="131"),H754='131-CT'!$E$7),"131",""))</f>
        <v>331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606"/>
      <c r="AC754" s="849"/>
      <c r="AD754" s="849"/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84">
        <v>41044</v>
      </c>
      <c r="D755" s="184" t="s">
        <v>476</v>
      </c>
      <c r="E755" s="184">
        <v>41044</v>
      </c>
      <c r="F755" s="189" t="s">
        <v>1423</v>
      </c>
      <c r="G755" s="617" t="s">
        <v>709</v>
      </c>
      <c r="H755" s="7" t="s">
        <v>436</v>
      </c>
      <c r="I755" s="252">
        <v>150</v>
      </c>
      <c r="J755" s="252">
        <v>6912</v>
      </c>
      <c r="K755" s="615">
        <v>1036800</v>
      </c>
      <c r="L755" s="194" t="s">
        <v>169</v>
      </c>
      <c r="M755" s="616" t="s">
        <v>8</v>
      </c>
      <c r="N755" s="52" t="str">
        <f>IF(AND('331-CT'!$E$7=TH!H755,OR(L755="331",M755="331")),"331",IF(AND(OR(L755="131",M755="131"),H755='131-CT'!$E$7),"131",""))</f>
        <v>331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606"/>
      <c r="AC755" s="849"/>
      <c r="AD755" s="849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84">
        <v>41044</v>
      </c>
      <c r="D756" s="184" t="s">
        <v>476</v>
      </c>
      <c r="E756" s="184">
        <v>41044</v>
      </c>
      <c r="F756" s="189" t="s">
        <v>1421</v>
      </c>
      <c r="G756" s="617" t="s">
        <v>709</v>
      </c>
      <c r="H756" s="7" t="s">
        <v>436</v>
      </c>
      <c r="I756" s="252">
        <v>100</v>
      </c>
      <c r="J756" s="252">
        <v>13200</v>
      </c>
      <c r="K756" s="615">
        <v>1320000</v>
      </c>
      <c r="L756" s="194" t="s">
        <v>169</v>
      </c>
      <c r="M756" s="616" t="s">
        <v>8</v>
      </c>
      <c r="N756" s="52" t="str">
        <f>IF(AND('331-CT'!$E$7=TH!H756,OR(L756="331",M756="331")),"331",IF(AND(OR(L756="131",M756="131"),H756='131-CT'!$E$7),"131",""))</f>
        <v>331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606"/>
      <c r="AC756" s="849"/>
      <c r="AD756" s="849"/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v>41044</v>
      </c>
      <c r="D757" s="184" t="s">
        <v>476</v>
      </c>
      <c r="E757" s="191">
        <v>41044</v>
      </c>
      <c r="F757" s="192" t="s">
        <v>1424</v>
      </c>
      <c r="G757" s="490" t="s">
        <v>709</v>
      </c>
      <c r="H757" s="7" t="s">
        <v>436</v>
      </c>
      <c r="I757" s="252">
        <v>300</v>
      </c>
      <c r="J757" s="252">
        <v>9272</v>
      </c>
      <c r="K757" s="615">
        <v>2781600</v>
      </c>
      <c r="L757" s="194" t="s">
        <v>169</v>
      </c>
      <c r="M757" s="616" t="s">
        <v>8</v>
      </c>
      <c r="N757" s="52" t="str">
        <f>IF(AND('331-CT'!$E$7=TH!H757,OR(L757="331",M757="331")),"331",IF(AND(OR(L757="131",M757="131"),H757='131-CT'!$E$7),"131",""))</f>
        <v>331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606"/>
      <c r="AC757" s="849"/>
      <c r="AD757" s="849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v>41044</v>
      </c>
      <c r="D758" s="184" t="s">
        <v>476</v>
      </c>
      <c r="E758" s="191">
        <v>41044</v>
      </c>
      <c r="F758" s="192" t="s">
        <v>1425</v>
      </c>
      <c r="G758" s="490" t="s">
        <v>709</v>
      </c>
      <c r="H758" s="7" t="s">
        <v>436</v>
      </c>
      <c r="I758" s="252">
        <v>134</v>
      </c>
      <c r="J758" s="252">
        <v>12985</v>
      </c>
      <c r="K758" s="38">
        <v>1739990</v>
      </c>
      <c r="L758" s="194" t="s">
        <v>169</v>
      </c>
      <c r="M758" s="616" t="s">
        <v>8</v>
      </c>
      <c r="N758" s="52" t="str">
        <f>IF(AND('331-CT'!$E$7=TH!H758,OR(L758="331",M758="331")),"331",IF(AND(OR(L758="131",M758="131"),H758='131-CT'!$E$7),"131",""))</f>
        <v>331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606"/>
      <c r="AC758" s="849"/>
      <c r="AD758" s="849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v>41044</v>
      </c>
      <c r="D759" s="184" t="s">
        <v>476</v>
      </c>
      <c r="E759" s="191">
        <v>41044</v>
      </c>
      <c r="F759" s="192" t="s">
        <v>1426</v>
      </c>
      <c r="G759" s="490" t="s">
        <v>709</v>
      </c>
      <c r="H759" s="7" t="s">
        <v>436</v>
      </c>
      <c r="I759" s="252">
        <v>134</v>
      </c>
      <c r="J759" s="252">
        <v>17376</v>
      </c>
      <c r="K759" s="615">
        <v>2328384</v>
      </c>
      <c r="L759" s="194" t="s">
        <v>169</v>
      </c>
      <c r="M759" s="616" t="s">
        <v>8</v>
      </c>
      <c r="N759" s="52" t="str">
        <f>IF(AND('331-CT'!$E$7=TH!H759,OR(L759="331",M759="331")),"331",IF(AND(OR(L759="131",M759="131"),H759='131-CT'!$E$7),"131",""))</f>
        <v>331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B759" s="606"/>
      <c r="AC759" s="849"/>
      <c r="AD759" s="849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v>41044</v>
      </c>
      <c r="D760" s="184" t="s">
        <v>476</v>
      </c>
      <c r="E760" s="191">
        <v>41044</v>
      </c>
      <c r="F760" s="192" t="s">
        <v>566</v>
      </c>
      <c r="G760" s="490" t="s">
        <v>709</v>
      </c>
      <c r="H760" s="7" t="s">
        <v>436</v>
      </c>
      <c r="I760" s="252"/>
      <c r="J760" s="252"/>
      <c r="K760" s="38">
        <v>1255957</v>
      </c>
      <c r="L760" s="194" t="s">
        <v>9</v>
      </c>
      <c r="M760" s="616" t="s">
        <v>8</v>
      </c>
      <c r="N760" s="52" t="str">
        <f>IF(AND('331-CT'!$E$7=TH!H760,OR(L760="331",M760="331")),"331",IF(AND(OR(L760="131",M760="131"),H760='131-CT'!$E$7),"131",""))</f>
        <v>331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198">
        <v>5</v>
      </c>
      <c r="AC760" s="849"/>
      <c r="AD760" s="849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v>41044</v>
      </c>
      <c r="D761" s="184" t="s">
        <v>447</v>
      </c>
      <c r="E761" s="191">
        <v>41044</v>
      </c>
      <c r="F761" s="192" t="s">
        <v>400</v>
      </c>
      <c r="G761" s="490" t="s">
        <v>709</v>
      </c>
      <c r="H761" s="7" t="s">
        <v>436</v>
      </c>
      <c r="I761" s="252"/>
      <c r="J761" s="252"/>
      <c r="K761" s="38">
        <v>13815531</v>
      </c>
      <c r="L761" s="616" t="s">
        <v>8</v>
      </c>
      <c r="M761" s="616" t="s">
        <v>48</v>
      </c>
      <c r="N761" s="52" t="str">
        <f>IF(AND('331-CT'!$E$7=TH!H761,OR(L761="331",M761="331")),"331",IF(AND(OR(L761="131",M761="131"),H761='131-CT'!$E$7),"131",""))</f>
        <v>331</v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C761" s="849"/>
      <c r="AD761" s="849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41045</v>
      </c>
      <c r="D762" s="184" t="s">
        <v>476</v>
      </c>
      <c r="E762" s="191">
        <v>41045</v>
      </c>
      <c r="F762" s="192" t="s">
        <v>1307</v>
      </c>
      <c r="G762" s="490" t="s">
        <v>710</v>
      </c>
      <c r="H762" s="7" t="s">
        <v>436</v>
      </c>
      <c r="I762" s="252">
        <v>425</v>
      </c>
      <c r="J762" s="252">
        <v>29100</v>
      </c>
      <c r="K762" s="38">
        <v>12367500</v>
      </c>
      <c r="L762" s="194" t="s">
        <v>169</v>
      </c>
      <c r="M762" s="616" t="s">
        <v>8</v>
      </c>
      <c r="N762" s="52" t="str">
        <f>IF(AND('331-CT'!$E$7=TH!H762,OR(L762="331",M762="331")),"331",IF(AND(OR(L762="131",M762="131"),H762='131-CT'!$E$7),"131",""))</f>
        <v>331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B762" s="606"/>
      <c r="AC762" s="849"/>
      <c r="AD762" s="849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84">
        <v>41045</v>
      </c>
      <c r="D763" s="184" t="s">
        <v>476</v>
      </c>
      <c r="E763" s="184">
        <v>41045</v>
      </c>
      <c r="F763" s="189" t="s">
        <v>566</v>
      </c>
      <c r="G763" s="617" t="s">
        <v>710</v>
      </c>
      <c r="H763" s="7" t="s">
        <v>436</v>
      </c>
      <c r="I763" s="252"/>
      <c r="J763" s="252"/>
      <c r="K763" s="615">
        <v>1236750</v>
      </c>
      <c r="L763" s="616" t="s">
        <v>9</v>
      </c>
      <c r="M763" s="616" t="s">
        <v>8</v>
      </c>
      <c r="N763" s="52" t="str">
        <f>IF(AND('331-CT'!$E$7=TH!H763,OR(L763="331",M763="331")),"331",IF(AND(OR(L763="131",M763="131"),H763='131-CT'!$E$7),"131",""))</f>
        <v>331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849"/>
      <c r="AD763" s="849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84">
        <v>41045</v>
      </c>
      <c r="D764" s="184" t="s">
        <v>448</v>
      </c>
      <c r="E764" s="184">
        <v>41045</v>
      </c>
      <c r="F764" s="189" t="s">
        <v>400</v>
      </c>
      <c r="G764" s="617" t="s">
        <v>710</v>
      </c>
      <c r="H764" s="7" t="s">
        <v>436</v>
      </c>
      <c r="I764" s="252"/>
      <c r="J764" s="252"/>
      <c r="K764" s="615">
        <v>13604250</v>
      </c>
      <c r="L764" s="616" t="s">
        <v>8</v>
      </c>
      <c r="M764" s="616" t="s">
        <v>48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C764" s="849"/>
      <c r="AD764" s="849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f t="shared" ref="C765:C770" si="53">E765</f>
        <v>41045</v>
      </c>
      <c r="D765" s="191" t="s">
        <v>1611</v>
      </c>
      <c r="E765" s="191">
        <v>41045</v>
      </c>
      <c r="F765" s="192" t="s">
        <v>1200</v>
      </c>
      <c r="G765" s="490" t="s">
        <v>994</v>
      </c>
      <c r="H765" s="193" t="s">
        <v>948</v>
      </c>
      <c r="I765" s="252">
        <v>451</v>
      </c>
      <c r="J765" s="252">
        <v>8050</v>
      </c>
      <c r="K765" s="615">
        <f>ROUND(I765*J765,0)</f>
        <v>3630550</v>
      </c>
      <c r="L765" s="194" t="s">
        <v>284</v>
      </c>
      <c r="M765" s="194" t="s">
        <v>185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211"/>
      <c r="AB765" s="211"/>
      <c r="AC765" s="211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51"/>
        <v>5</v>
      </c>
      <c r="C766" s="191">
        <f t="shared" si="53"/>
        <v>41045</v>
      </c>
      <c r="D766" s="191" t="s">
        <v>1611</v>
      </c>
      <c r="E766" s="191">
        <v>41045</v>
      </c>
      <c r="F766" s="192" t="s">
        <v>1070</v>
      </c>
      <c r="G766" s="490" t="s">
        <v>994</v>
      </c>
      <c r="H766" s="193" t="s">
        <v>948</v>
      </c>
      <c r="I766" s="252">
        <v>783</v>
      </c>
      <c r="J766" s="252">
        <v>6700</v>
      </c>
      <c r="K766" s="615">
        <f>ROUND(I766*J766,0)</f>
        <v>5246100</v>
      </c>
      <c r="L766" s="194" t="s">
        <v>284</v>
      </c>
      <c r="M766" s="194" t="s">
        <v>185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211"/>
      <c r="AB766" s="211"/>
      <c r="AC766" s="211"/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51"/>
        <v>5</v>
      </c>
      <c r="C767" s="191">
        <f t="shared" si="53"/>
        <v>41045</v>
      </c>
      <c r="D767" s="191" t="s">
        <v>1611</v>
      </c>
      <c r="E767" s="191">
        <v>41045</v>
      </c>
      <c r="F767" s="192" t="s">
        <v>1199</v>
      </c>
      <c r="G767" s="490" t="s">
        <v>994</v>
      </c>
      <c r="H767" s="193" t="s">
        <v>948</v>
      </c>
      <c r="I767" s="252">
        <v>1200</v>
      </c>
      <c r="J767" s="252">
        <v>337</v>
      </c>
      <c r="K767" s="615">
        <f>ROUND(I767*J767,0)</f>
        <v>404400</v>
      </c>
      <c r="L767" s="194" t="s">
        <v>284</v>
      </c>
      <c r="M767" s="194" t="s">
        <v>185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211"/>
      <c r="AB767" s="211"/>
      <c r="AC767" s="211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51"/>
        <v>5</v>
      </c>
      <c r="C768" s="191">
        <f t="shared" si="53"/>
        <v>41045</v>
      </c>
      <c r="D768" s="191" t="s">
        <v>1611</v>
      </c>
      <c r="E768" s="191">
        <v>41045</v>
      </c>
      <c r="F768" s="192" t="s">
        <v>555</v>
      </c>
      <c r="G768" s="490" t="s">
        <v>994</v>
      </c>
      <c r="H768" s="193" t="s">
        <v>948</v>
      </c>
      <c r="I768" s="252"/>
      <c r="J768" s="252"/>
      <c r="K768" s="615">
        <v>928105</v>
      </c>
      <c r="L768" s="194" t="s">
        <v>284</v>
      </c>
      <c r="M768" s="194" t="s">
        <v>495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51"/>
        <v>5</v>
      </c>
      <c r="C769" s="191">
        <f t="shared" si="53"/>
        <v>41045</v>
      </c>
      <c r="D769" s="191" t="s">
        <v>1651</v>
      </c>
      <c r="E769" s="191">
        <v>41045</v>
      </c>
      <c r="F769" s="192" t="s">
        <v>365</v>
      </c>
      <c r="G769" s="490" t="s">
        <v>994</v>
      </c>
      <c r="H769" s="193" t="s">
        <v>948</v>
      </c>
      <c r="I769" s="252"/>
      <c r="J769" s="252"/>
      <c r="K769" s="615">
        <v>10209155</v>
      </c>
      <c r="L769" s="194" t="s">
        <v>48</v>
      </c>
      <c r="M769" s="194" t="s">
        <v>284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51"/>
        <v>5</v>
      </c>
      <c r="C770" s="191">
        <f t="shared" si="53"/>
        <v>41047</v>
      </c>
      <c r="D770" s="184" t="s">
        <v>449</v>
      </c>
      <c r="E770" s="191">
        <v>41047</v>
      </c>
      <c r="F770" s="192" t="s">
        <v>400</v>
      </c>
      <c r="G770" s="490" t="s">
        <v>707</v>
      </c>
      <c r="H770" s="7" t="s">
        <v>436</v>
      </c>
      <c r="I770" s="254"/>
      <c r="J770" s="254"/>
      <c r="K770" s="615">
        <v>11576466</v>
      </c>
      <c r="L770" s="616" t="s">
        <v>8</v>
      </c>
      <c r="M770" s="616" t="s">
        <v>48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C770" s="849"/>
      <c r="AD770" s="849"/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51"/>
        <v>5</v>
      </c>
      <c r="C771" s="184">
        <v>41047</v>
      </c>
      <c r="D771" s="184" t="s">
        <v>363</v>
      </c>
      <c r="E771" s="184">
        <v>41047</v>
      </c>
      <c r="F771" s="189" t="s">
        <v>365</v>
      </c>
      <c r="G771" s="617" t="s">
        <v>361</v>
      </c>
      <c r="H771" s="7" t="s">
        <v>497</v>
      </c>
      <c r="I771" s="252"/>
      <c r="J771" s="252"/>
      <c r="K771" s="615">
        <v>20157000</v>
      </c>
      <c r="L771" s="616" t="s">
        <v>24</v>
      </c>
      <c r="M771" s="616" t="s">
        <v>284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>x</v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849"/>
      <c r="AD771" s="849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51"/>
        <v>5</v>
      </c>
      <c r="C772" s="191">
        <v>41047</v>
      </c>
      <c r="D772" s="184" t="s">
        <v>477</v>
      </c>
      <c r="E772" s="191">
        <v>41047</v>
      </c>
      <c r="F772" s="192" t="s">
        <v>1308</v>
      </c>
      <c r="G772" s="490" t="s">
        <v>711</v>
      </c>
      <c r="H772" s="7" t="s">
        <v>436</v>
      </c>
      <c r="I772" s="252">
        <v>100</v>
      </c>
      <c r="J772" s="252">
        <v>21728</v>
      </c>
      <c r="K772" s="615">
        <v>2172800</v>
      </c>
      <c r="L772" s="194" t="s">
        <v>169</v>
      </c>
      <c r="M772" s="616" t="s">
        <v>8</v>
      </c>
      <c r="N772" s="52" t="str">
        <f>IF(AND('331-CT'!$E$7=TH!H772,OR(L772="331",M772="331")),"331",IF(AND(OR(L772="131",M772="131"),H772='131-CT'!$E$7),"131",""))</f>
        <v>331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B772" s="606"/>
      <c r="AC772" s="849"/>
      <c r="AD772" s="849"/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51"/>
        <v>5</v>
      </c>
      <c r="C773" s="191">
        <v>41047</v>
      </c>
      <c r="D773" s="184" t="s">
        <v>477</v>
      </c>
      <c r="E773" s="191">
        <v>41047</v>
      </c>
      <c r="F773" s="192" t="s">
        <v>1309</v>
      </c>
      <c r="G773" s="490" t="s">
        <v>711</v>
      </c>
      <c r="H773" s="7" t="s">
        <v>436</v>
      </c>
      <c r="I773" s="252">
        <v>340</v>
      </c>
      <c r="J773" s="252">
        <v>22301</v>
      </c>
      <c r="K773" s="38">
        <v>7582340</v>
      </c>
      <c r="L773" s="194" t="s">
        <v>169</v>
      </c>
      <c r="M773" s="616" t="s">
        <v>8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B773" s="606"/>
      <c r="AC773" s="849"/>
      <c r="AD773" s="849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51"/>
        <v>5</v>
      </c>
      <c r="C774" s="191">
        <v>41047</v>
      </c>
      <c r="D774" s="184" t="s">
        <v>477</v>
      </c>
      <c r="E774" s="191">
        <v>41047</v>
      </c>
      <c r="F774" s="189" t="s">
        <v>1299</v>
      </c>
      <c r="G774" s="490" t="s">
        <v>711</v>
      </c>
      <c r="H774" s="7" t="s">
        <v>436</v>
      </c>
      <c r="I774" s="252">
        <v>1000</v>
      </c>
      <c r="J774" s="252">
        <v>10775</v>
      </c>
      <c r="K774" s="615">
        <v>10775000</v>
      </c>
      <c r="L774" s="194" t="s">
        <v>169</v>
      </c>
      <c r="M774" s="616" t="s">
        <v>8</v>
      </c>
      <c r="N774" s="52" t="str">
        <f>IF(AND('331-CT'!$E$7=TH!H774,OR(L774="331",M774="331")),"331",IF(AND(OR(L774="131",M774="131"),H774='131-CT'!$E$7),"131",""))</f>
        <v>331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B774" s="606"/>
      <c r="AC774" s="849"/>
      <c r="AD774" s="849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51"/>
        <v>5</v>
      </c>
      <c r="C775" s="191">
        <v>41047</v>
      </c>
      <c r="D775" s="184" t="s">
        <v>477</v>
      </c>
      <c r="E775" s="191">
        <v>41047</v>
      </c>
      <c r="F775" s="189" t="s">
        <v>566</v>
      </c>
      <c r="G775" s="490" t="s">
        <v>711</v>
      </c>
      <c r="H775" s="7" t="s">
        <v>436</v>
      </c>
      <c r="I775" s="252"/>
      <c r="J775" s="252"/>
      <c r="K775" s="38">
        <v>2053014</v>
      </c>
      <c r="L775" s="194" t="s">
        <v>9</v>
      </c>
      <c r="M775" s="616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198">
        <v>5</v>
      </c>
      <c r="AC775" s="849"/>
      <c r="AD775" s="849"/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51"/>
        <v>5</v>
      </c>
      <c r="C776" s="191">
        <f t="shared" ref="C776:C784" si="54">E776</f>
        <v>41047</v>
      </c>
      <c r="D776" s="191" t="s">
        <v>1612</v>
      </c>
      <c r="E776" s="191">
        <v>41047</v>
      </c>
      <c r="F776" s="879" t="s">
        <v>1198</v>
      </c>
      <c r="G776" s="490" t="s">
        <v>995</v>
      </c>
      <c r="H776" s="193" t="s">
        <v>700</v>
      </c>
      <c r="I776" s="252">
        <v>100</v>
      </c>
      <c r="J776" s="252">
        <v>53900</v>
      </c>
      <c r="K776" s="615">
        <f>ROUND(I776*J776,0)</f>
        <v>5390000</v>
      </c>
      <c r="L776" s="194" t="s">
        <v>284</v>
      </c>
      <c r="M776" s="194" t="s">
        <v>185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211"/>
      <c r="AB776" s="211"/>
      <c r="AC776" s="211"/>
      <c r="AD776" s="211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51"/>
        <v>5</v>
      </c>
      <c r="C777" s="191">
        <f t="shared" si="54"/>
        <v>41047</v>
      </c>
      <c r="D777" s="191" t="s">
        <v>1612</v>
      </c>
      <c r="E777" s="191">
        <v>41047</v>
      </c>
      <c r="F777" s="879" t="s">
        <v>1197</v>
      </c>
      <c r="G777" s="490" t="s">
        <v>995</v>
      </c>
      <c r="H777" s="193" t="s">
        <v>700</v>
      </c>
      <c r="I777" s="252">
        <v>97</v>
      </c>
      <c r="J777" s="252">
        <v>23900</v>
      </c>
      <c r="K777" s="615">
        <f>ROUND(I777*J777,0)</f>
        <v>2318300</v>
      </c>
      <c r="L777" s="194" t="s">
        <v>284</v>
      </c>
      <c r="M777" s="194" t="s">
        <v>185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211"/>
      <c r="AB777" s="211"/>
      <c r="AC777" s="211"/>
      <c r="AD777" s="211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51"/>
        <v>5</v>
      </c>
      <c r="C778" s="191">
        <f t="shared" si="54"/>
        <v>41047</v>
      </c>
      <c r="D778" s="191" t="s">
        <v>1612</v>
      </c>
      <c r="E778" s="191">
        <v>41047</v>
      </c>
      <c r="F778" s="192" t="s">
        <v>555</v>
      </c>
      <c r="G778" s="490" t="s">
        <v>995</v>
      </c>
      <c r="H778" s="193" t="s">
        <v>700</v>
      </c>
      <c r="I778" s="252"/>
      <c r="J778" s="252"/>
      <c r="K778" s="615">
        <v>770830</v>
      </c>
      <c r="L778" s="194" t="s">
        <v>284</v>
      </c>
      <c r="M778" s="194" t="s">
        <v>495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51"/>
        <v>5</v>
      </c>
      <c r="C779" s="191">
        <f t="shared" si="54"/>
        <v>41047</v>
      </c>
      <c r="D779" s="191" t="s">
        <v>1613</v>
      </c>
      <c r="E779" s="191">
        <v>41047</v>
      </c>
      <c r="F779" s="879" t="s">
        <v>1129</v>
      </c>
      <c r="G779" s="490" t="s">
        <v>996</v>
      </c>
      <c r="H779" s="7" t="s">
        <v>997</v>
      </c>
      <c r="I779" s="252">
        <v>100</v>
      </c>
      <c r="J779" s="252">
        <v>11210</v>
      </c>
      <c r="K779" s="615">
        <f>ROUND(I779*J779,0)</f>
        <v>1121000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51"/>
        <v>5</v>
      </c>
      <c r="C780" s="191">
        <f t="shared" si="54"/>
        <v>41047</v>
      </c>
      <c r="D780" s="191" t="s">
        <v>1613</v>
      </c>
      <c r="E780" s="191">
        <v>41047</v>
      </c>
      <c r="F780" s="879" t="s">
        <v>1196</v>
      </c>
      <c r="G780" s="490" t="s">
        <v>996</v>
      </c>
      <c r="H780" s="7" t="s">
        <v>997</v>
      </c>
      <c r="I780" s="252">
        <v>230</v>
      </c>
      <c r="J780" s="252">
        <v>9070</v>
      </c>
      <c r="K780" s="615">
        <f>ROUND(I780*J780,0)</f>
        <v>2086100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si="51"/>
        <v>5</v>
      </c>
      <c r="C781" s="191">
        <f t="shared" si="54"/>
        <v>41047</v>
      </c>
      <c r="D781" s="191" t="s">
        <v>1613</v>
      </c>
      <c r="E781" s="191">
        <v>41047</v>
      </c>
      <c r="F781" s="879" t="s">
        <v>1195</v>
      </c>
      <c r="G781" s="490" t="s">
        <v>996</v>
      </c>
      <c r="H781" s="7" t="s">
        <v>997</v>
      </c>
      <c r="I781" s="252">
        <v>328</v>
      </c>
      <c r="J781" s="252">
        <v>12650</v>
      </c>
      <c r="K781" s="615">
        <f>ROUND(I781*J781,0)</f>
        <v>4149200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51"/>
        <v>5</v>
      </c>
      <c r="C782" s="191">
        <f t="shared" si="54"/>
        <v>41047</v>
      </c>
      <c r="D782" s="191" t="s">
        <v>1613</v>
      </c>
      <c r="E782" s="191">
        <v>41047</v>
      </c>
      <c r="F782" s="879" t="s">
        <v>1195</v>
      </c>
      <c r="G782" s="490" t="s">
        <v>996</v>
      </c>
      <c r="H782" s="7" t="s">
        <v>997</v>
      </c>
      <c r="I782" s="252">
        <v>505</v>
      </c>
      <c r="J782" s="252">
        <v>15600</v>
      </c>
      <c r="K782" s="615">
        <f>ROUND(I782*J782,0)</f>
        <v>7878000</v>
      </c>
      <c r="L782" s="194" t="s">
        <v>284</v>
      </c>
      <c r="M782" s="194" t="s">
        <v>185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211"/>
      <c r="AB782" s="211"/>
      <c r="AC782" s="211"/>
      <c r="AD782" s="211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51"/>
        <v>5</v>
      </c>
      <c r="C783" s="191">
        <f t="shared" si="54"/>
        <v>41047</v>
      </c>
      <c r="D783" s="191" t="s">
        <v>1613</v>
      </c>
      <c r="E783" s="191">
        <v>41047</v>
      </c>
      <c r="F783" s="192" t="s">
        <v>555</v>
      </c>
      <c r="G783" s="490" t="s">
        <v>996</v>
      </c>
      <c r="H783" s="7" t="s">
        <v>997</v>
      </c>
      <c r="I783" s="252"/>
      <c r="J783" s="252"/>
      <c r="K783" s="615">
        <v>1523430</v>
      </c>
      <c r="L783" s="194" t="s">
        <v>284</v>
      </c>
      <c r="M783" s="194" t="s">
        <v>495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51"/>
        <v>5</v>
      </c>
      <c r="C784" s="191">
        <f t="shared" si="54"/>
        <v>41047</v>
      </c>
      <c r="D784" s="191" t="s">
        <v>1652</v>
      </c>
      <c r="E784" s="191">
        <v>41047</v>
      </c>
      <c r="F784" s="192" t="s">
        <v>365</v>
      </c>
      <c r="G784" s="490" t="s">
        <v>996</v>
      </c>
      <c r="H784" s="7" t="s">
        <v>997</v>
      </c>
      <c r="I784" s="252"/>
      <c r="J784" s="252"/>
      <c r="K784" s="615">
        <v>16757730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>x</v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51"/>
        <v>5</v>
      </c>
      <c r="C785" s="191">
        <v>41048</v>
      </c>
      <c r="D785" s="191" t="s">
        <v>450</v>
      </c>
      <c r="E785" s="191">
        <v>41048</v>
      </c>
      <c r="F785" s="192" t="s">
        <v>712</v>
      </c>
      <c r="G785" s="490" t="s">
        <v>713</v>
      </c>
      <c r="H785" s="7" t="s">
        <v>401</v>
      </c>
      <c r="I785" s="254"/>
      <c r="J785" s="254"/>
      <c r="K785" s="38">
        <v>6200000</v>
      </c>
      <c r="L785" s="194" t="s">
        <v>175</v>
      </c>
      <c r="M785" s="194" t="s">
        <v>48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>x</v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>154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C785" s="849"/>
      <c r="AD785" s="849"/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51"/>
        <v>5</v>
      </c>
      <c r="C786" s="191">
        <v>41048</v>
      </c>
      <c r="D786" s="191" t="s">
        <v>450</v>
      </c>
      <c r="E786" s="191">
        <v>41048</v>
      </c>
      <c r="F786" s="192" t="s">
        <v>372</v>
      </c>
      <c r="G786" s="490" t="s">
        <v>713</v>
      </c>
      <c r="H786" s="193" t="s">
        <v>401</v>
      </c>
      <c r="I786" s="252"/>
      <c r="J786" s="252"/>
      <c r="K786" s="38">
        <v>620000</v>
      </c>
      <c r="L786" s="194" t="s">
        <v>9</v>
      </c>
      <c r="M786" s="616" t="s">
        <v>48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198">
        <v>5</v>
      </c>
      <c r="AC786" s="849"/>
      <c r="AD786" s="849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51"/>
        <v>5</v>
      </c>
      <c r="C787" s="191">
        <v>41048</v>
      </c>
      <c r="D787" s="184" t="s">
        <v>478</v>
      </c>
      <c r="E787" s="191">
        <v>41048</v>
      </c>
      <c r="F787" s="192" t="s">
        <v>1427</v>
      </c>
      <c r="G787" s="488" t="s">
        <v>714</v>
      </c>
      <c r="H787" s="7" t="s">
        <v>436</v>
      </c>
      <c r="I787" s="254">
        <v>1000</v>
      </c>
      <c r="J787" s="252">
        <v>10752</v>
      </c>
      <c r="K787" s="38">
        <v>10752000</v>
      </c>
      <c r="L787" s="194" t="s">
        <v>169</v>
      </c>
      <c r="M787" s="61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B787" s="606"/>
      <c r="AC787" s="849"/>
      <c r="AD787" s="849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51"/>
        <v>5</v>
      </c>
      <c r="C788" s="191">
        <v>41048</v>
      </c>
      <c r="D788" s="184" t="s">
        <v>478</v>
      </c>
      <c r="E788" s="191">
        <v>41048</v>
      </c>
      <c r="F788" s="192" t="s">
        <v>1428</v>
      </c>
      <c r="G788" s="488" t="s">
        <v>714</v>
      </c>
      <c r="H788" s="7" t="s">
        <v>436</v>
      </c>
      <c r="I788" s="254">
        <v>300</v>
      </c>
      <c r="J788" s="252">
        <v>14553</v>
      </c>
      <c r="K788" s="38">
        <v>4365900</v>
      </c>
      <c r="L788" s="194" t="s">
        <v>169</v>
      </c>
      <c r="M788" s="61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B788" s="606"/>
      <c r="AC788" s="849"/>
      <c r="AD788" s="849"/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:B852" si="55">IF(C789&lt;&gt;"",MONTH(C789),"")</f>
        <v>5</v>
      </c>
      <c r="C789" s="184">
        <v>41048</v>
      </c>
      <c r="D789" s="184" t="s">
        <v>478</v>
      </c>
      <c r="E789" s="184">
        <v>41048</v>
      </c>
      <c r="F789" s="189" t="s">
        <v>1429</v>
      </c>
      <c r="G789" s="617" t="s">
        <v>714</v>
      </c>
      <c r="H789" s="7" t="s">
        <v>436</v>
      </c>
      <c r="I789" s="252">
        <v>250</v>
      </c>
      <c r="J789" s="252">
        <v>12211</v>
      </c>
      <c r="K789" s="615">
        <v>3052750</v>
      </c>
      <c r="L789" s="194" t="s">
        <v>169</v>
      </c>
      <c r="M789" s="61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B789" s="606"/>
      <c r="AC789" s="849"/>
      <c r="AD789" s="849"/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84">
        <v>41048</v>
      </c>
      <c r="D790" s="184" t="s">
        <v>478</v>
      </c>
      <c r="E790" s="184">
        <v>41048</v>
      </c>
      <c r="F790" s="189" t="s">
        <v>1310</v>
      </c>
      <c r="G790" s="617" t="s">
        <v>714</v>
      </c>
      <c r="H790" s="7" t="s">
        <v>436</v>
      </c>
      <c r="I790" s="252">
        <v>225</v>
      </c>
      <c r="J790" s="252">
        <v>19584</v>
      </c>
      <c r="K790" s="615">
        <v>4406400</v>
      </c>
      <c r="L790" s="194" t="s">
        <v>169</v>
      </c>
      <c r="M790" s="61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B790" s="606"/>
      <c r="AC790" s="849"/>
      <c r="AD790" s="849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84">
        <v>41048</v>
      </c>
      <c r="D791" s="184" t="s">
        <v>478</v>
      </c>
      <c r="E791" s="184">
        <v>41048</v>
      </c>
      <c r="F791" s="189" t="s">
        <v>1311</v>
      </c>
      <c r="G791" s="617" t="s">
        <v>714</v>
      </c>
      <c r="H791" s="7" t="s">
        <v>436</v>
      </c>
      <c r="I791" s="252">
        <v>225</v>
      </c>
      <c r="J791" s="252">
        <v>29232</v>
      </c>
      <c r="K791" s="615">
        <v>6577200</v>
      </c>
      <c r="L791" s="194" t="s">
        <v>169</v>
      </c>
      <c r="M791" s="61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B791" s="606"/>
      <c r="AC791" s="849"/>
      <c r="AD791" s="849"/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41048</v>
      </c>
      <c r="D792" s="184" t="s">
        <v>478</v>
      </c>
      <c r="E792" s="191">
        <v>41048</v>
      </c>
      <c r="F792" s="192" t="s">
        <v>1312</v>
      </c>
      <c r="G792" s="490" t="s">
        <v>714</v>
      </c>
      <c r="H792" s="7" t="s">
        <v>436</v>
      </c>
      <c r="I792" s="252">
        <v>150</v>
      </c>
      <c r="J792" s="252">
        <v>19924</v>
      </c>
      <c r="K792" s="38">
        <v>2988600</v>
      </c>
      <c r="L792" s="194" t="s">
        <v>169</v>
      </c>
      <c r="M792" s="61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B792" s="606"/>
      <c r="AC792" s="849"/>
      <c r="AD792" s="849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41048</v>
      </c>
      <c r="D793" s="184" t="s">
        <v>478</v>
      </c>
      <c r="E793" s="191">
        <v>41048</v>
      </c>
      <c r="F793" s="192" t="s">
        <v>566</v>
      </c>
      <c r="G793" s="490" t="s">
        <v>714</v>
      </c>
      <c r="H793" s="7" t="s">
        <v>436</v>
      </c>
      <c r="I793" s="252"/>
      <c r="J793" s="252"/>
      <c r="K793" s="38">
        <v>3214285</v>
      </c>
      <c r="L793" s="194" t="s">
        <v>9</v>
      </c>
      <c r="M793" s="61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849"/>
      <c r="AD793" s="849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84">
        <v>41050</v>
      </c>
      <c r="D794" s="184" t="s">
        <v>364</v>
      </c>
      <c r="E794" s="184">
        <v>41050</v>
      </c>
      <c r="F794" s="189" t="s">
        <v>400</v>
      </c>
      <c r="G794" s="617" t="s">
        <v>361</v>
      </c>
      <c r="H794" s="7" t="s">
        <v>436</v>
      </c>
      <c r="I794" s="252"/>
      <c r="J794" s="252"/>
      <c r="K794" s="615">
        <v>15000000</v>
      </c>
      <c r="L794" s="616" t="s">
        <v>8</v>
      </c>
      <c r="M794" s="616" t="s">
        <v>24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>x</v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C794" s="849"/>
      <c r="AD794" s="849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41050</v>
      </c>
      <c r="D795" s="191" t="s">
        <v>364</v>
      </c>
      <c r="E795" s="184">
        <v>41050</v>
      </c>
      <c r="F795" s="189" t="s">
        <v>366</v>
      </c>
      <c r="G795" s="617" t="s">
        <v>361</v>
      </c>
      <c r="H795" s="193"/>
      <c r="I795" s="252"/>
      <c r="J795" s="252"/>
      <c r="K795" s="615">
        <v>20000</v>
      </c>
      <c r="L795" s="616" t="s">
        <v>84</v>
      </c>
      <c r="M795" s="616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>x</v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>642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C795" s="849"/>
      <c r="AD795" s="849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84">
        <v>41050</v>
      </c>
      <c r="D796" s="184" t="s">
        <v>364</v>
      </c>
      <c r="E796" s="184">
        <v>41050</v>
      </c>
      <c r="F796" s="189" t="s">
        <v>400</v>
      </c>
      <c r="G796" s="617" t="s">
        <v>361</v>
      </c>
      <c r="H796" s="7" t="s">
        <v>436</v>
      </c>
      <c r="I796" s="252"/>
      <c r="J796" s="252"/>
      <c r="K796" s="615">
        <v>4664000</v>
      </c>
      <c r="L796" s="616" t="s">
        <v>8</v>
      </c>
      <c r="M796" s="616" t="s">
        <v>24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C796" s="849"/>
      <c r="AD796" s="849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84">
        <v>41050</v>
      </c>
      <c r="D797" s="184" t="s">
        <v>364</v>
      </c>
      <c r="E797" s="184">
        <v>41050</v>
      </c>
      <c r="F797" s="189" t="s">
        <v>366</v>
      </c>
      <c r="G797" s="617" t="s">
        <v>361</v>
      </c>
      <c r="H797" s="7"/>
      <c r="I797" s="252"/>
      <c r="J797" s="252"/>
      <c r="K797" s="615">
        <v>10000</v>
      </c>
      <c r="L797" s="616" t="s">
        <v>84</v>
      </c>
      <c r="M797" s="61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>642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C797" s="849"/>
      <c r="AD797" s="849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84">
        <v>41051</v>
      </c>
      <c r="D798" s="184" t="s">
        <v>479</v>
      </c>
      <c r="E798" s="184">
        <v>41051</v>
      </c>
      <c r="F798" s="189" t="s">
        <v>1313</v>
      </c>
      <c r="G798" s="617" t="s">
        <v>715</v>
      </c>
      <c r="H798" s="7" t="s">
        <v>436</v>
      </c>
      <c r="I798" s="252">
        <v>250</v>
      </c>
      <c r="J798" s="252">
        <v>14726</v>
      </c>
      <c r="K798" s="615">
        <v>3681500</v>
      </c>
      <c r="L798" s="194" t="s">
        <v>169</v>
      </c>
      <c r="M798" s="616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B798" s="606"/>
      <c r="AC798" s="849"/>
      <c r="AD798" s="849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41051</v>
      </c>
      <c r="D799" s="184" t="s">
        <v>479</v>
      </c>
      <c r="E799" s="191">
        <v>41051</v>
      </c>
      <c r="F799" s="192" t="s">
        <v>1314</v>
      </c>
      <c r="G799" s="490" t="s">
        <v>715</v>
      </c>
      <c r="H799" s="7" t="s">
        <v>436</v>
      </c>
      <c r="I799" s="252">
        <v>215</v>
      </c>
      <c r="J799" s="252">
        <v>22361</v>
      </c>
      <c r="K799" s="615">
        <v>4807615</v>
      </c>
      <c r="L799" s="194" t="s">
        <v>169</v>
      </c>
      <c r="M799" s="616" t="s">
        <v>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B799" s="606"/>
      <c r="AC799" s="849"/>
      <c r="AD799" s="849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41051</v>
      </c>
      <c r="D800" s="184" t="s">
        <v>479</v>
      </c>
      <c r="E800" s="191">
        <v>41051</v>
      </c>
      <c r="F800" s="192" t="s">
        <v>566</v>
      </c>
      <c r="G800" s="490" t="s">
        <v>715</v>
      </c>
      <c r="H800" s="7" t="s">
        <v>436</v>
      </c>
      <c r="I800" s="252"/>
      <c r="J800" s="252"/>
      <c r="K800" s="38">
        <v>848912</v>
      </c>
      <c r="L800" s="194" t="s">
        <v>9</v>
      </c>
      <c r="M800" s="616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198">
        <v>5</v>
      </c>
      <c r="AC800" s="849"/>
      <c r="AD800" s="849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41051</v>
      </c>
      <c r="D801" s="184" t="s">
        <v>451</v>
      </c>
      <c r="E801" s="191">
        <v>41051</v>
      </c>
      <c r="F801" s="192" t="s">
        <v>400</v>
      </c>
      <c r="G801" s="490" t="s">
        <v>715</v>
      </c>
      <c r="H801" s="7" t="s">
        <v>436</v>
      </c>
      <c r="I801" s="252"/>
      <c r="J801" s="252"/>
      <c r="K801" s="38">
        <v>9338027</v>
      </c>
      <c r="L801" s="616" t="s">
        <v>8</v>
      </c>
      <c r="M801" s="616" t="s">
        <v>48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C801" s="849"/>
      <c r="AD801" s="849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f t="shared" ref="C802:C811" si="56">E802</f>
        <v>41051</v>
      </c>
      <c r="D802" s="191" t="s">
        <v>1614</v>
      </c>
      <c r="E802" s="191">
        <v>41051</v>
      </c>
      <c r="F802" s="879" t="s">
        <v>1194</v>
      </c>
      <c r="G802" s="490" t="s">
        <v>998</v>
      </c>
      <c r="H802" s="7" t="s">
        <v>997</v>
      </c>
      <c r="I802" s="252">
        <v>327</v>
      </c>
      <c r="J802" s="252">
        <v>3330</v>
      </c>
      <c r="K802" s="615">
        <f>ROUND(I802*J802,0)</f>
        <v>1088910</v>
      </c>
      <c r="L802" s="194" t="s">
        <v>284</v>
      </c>
      <c r="M802" s="194" t="s">
        <v>185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211"/>
      <c r="AB802" s="211"/>
      <c r="AC802" s="211"/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f t="shared" si="56"/>
        <v>41051</v>
      </c>
      <c r="D803" s="191" t="s">
        <v>1614</v>
      </c>
      <c r="E803" s="191">
        <v>41051</v>
      </c>
      <c r="F803" s="879" t="s">
        <v>1193</v>
      </c>
      <c r="G803" s="490" t="s">
        <v>998</v>
      </c>
      <c r="H803" s="7" t="s">
        <v>997</v>
      </c>
      <c r="I803" s="252">
        <v>317</v>
      </c>
      <c r="J803" s="252">
        <v>5970</v>
      </c>
      <c r="K803" s="615">
        <f>ROUND(I803*J803,0)</f>
        <v>1892490</v>
      </c>
      <c r="L803" s="194" t="s">
        <v>284</v>
      </c>
      <c r="M803" s="194" t="s">
        <v>185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211"/>
      <c r="AB803" s="211"/>
      <c r="AC803" s="211"/>
      <c r="AD803" s="211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55"/>
        <v>5</v>
      </c>
      <c r="C804" s="191">
        <f t="shared" si="56"/>
        <v>41051</v>
      </c>
      <c r="D804" s="191" t="s">
        <v>1614</v>
      </c>
      <c r="E804" s="191">
        <v>41051</v>
      </c>
      <c r="F804" s="879" t="s">
        <v>1192</v>
      </c>
      <c r="G804" s="490" t="s">
        <v>998</v>
      </c>
      <c r="H804" s="7" t="s">
        <v>997</v>
      </c>
      <c r="I804" s="252">
        <v>2040</v>
      </c>
      <c r="J804" s="252">
        <v>7400</v>
      </c>
      <c r="K804" s="615">
        <f>ROUND(I804*J804,0)</f>
        <v>15096000</v>
      </c>
      <c r="L804" s="194" t="s">
        <v>284</v>
      </c>
      <c r="M804" s="194" t="s">
        <v>185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211"/>
      <c r="AB804" s="211"/>
      <c r="AC804" s="211"/>
      <c r="AD804" s="211"/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f t="shared" si="56"/>
        <v>41051</v>
      </c>
      <c r="D805" s="191" t="s">
        <v>1614</v>
      </c>
      <c r="E805" s="191">
        <v>41051</v>
      </c>
      <c r="F805" s="192" t="s">
        <v>555</v>
      </c>
      <c r="G805" s="490" t="s">
        <v>998</v>
      </c>
      <c r="H805" s="7" t="s">
        <v>997</v>
      </c>
      <c r="I805" s="250"/>
      <c r="J805" s="250"/>
      <c r="K805" s="615">
        <v>1807740</v>
      </c>
      <c r="L805" s="194" t="s">
        <v>284</v>
      </c>
      <c r="M805" s="194" t="s">
        <v>495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si="56"/>
        <v>41051</v>
      </c>
      <c r="D806" s="191" t="s">
        <v>1653</v>
      </c>
      <c r="E806" s="191">
        <v>41051</v>
      </c>
      <c r="F806" s="192" t="s">
        <v>365</v>
      </c>
      <c r="G806" s="490" t="s">
        <v>998</v>
      </c>
      <c r="H806" s="7" t="s">
        <v>997</v>
      </c>
      <c r="I806" s="250"/>
      <c r="J806" s="250"/>
      <c r="K806" s="615">
        <v>19885140</v>
      </c>
      <c r="L806" s="194" t="s">
        <v>48</v>
      </c>
      <c r="M806" s="194" t="s">
        <v>284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>x</v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6"/>
        <v>41051</v>
      </c>
      <c r="D807" s="191" t="s">
        <v>1654</v>
      </c>
      <c r="E807" s="191">
        <v>41051</v>
      </c>
      <c r="F807" s="192" t="s">
        <v>1572</v>
      </c>
      <c r="G807" s="490"/>
      <c r="H807" s="193" t="s">
        <v>799</v>
      </c>
      <c r="I807" s="252"/>
      <c r="J807" s="252"/>
      <c r="K807" s="615">
        <v>1989344</v>
      </c>
      <c r="L807" s="194" t="s">
        <v>48</v>
      </c>
      <c r="M807" s="194" t="s">
        <v>284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>x</v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6"/>
        <v>41051</v>
      </c>
      <c r="D808" s="191" t="s">
        <v>1615</v>
      </c>
      <c r="E808" s="191">
        <v>41051</v>
      </c>
      <c r="F808" s="192" t="s">
        <v>1191</v>
      </c>
      <c r="G808" s="490" t="s">
        <v>999</v>
      </c>
      <c r="H808" s="193" t="s">
        <v>799</v>
      </c>
      <c r="I808" s="252">
        <v>492</v>
      </c>
      <c r="J808" s="252">
        <v>8480</v>
      </c>
      <c r="K808" s="615">
        <f>ROUND(I808*J808,0)</f>
        <v>4172160</v>
      </c>
      <c r="L808" s="194" t="s">
        <v>284</v>
      </c>
      <c r="M808" s="194" t="s">
        <v>185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211"/>
      <c r="AB808" s="211"/>
      <c r="AC808" s="211"/>
      <c r="AD808" s="211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6"/>
        <v>41051</v>
      </c>
      <c r="D809" s="191" t="s">
        <v>1615</v>
      </c>
      <c r="E809" s="191">
        <v>41051</v>
      </c>
      <c r="F809" s="192" t="s">
        <v>1190</v>
      </c>
      <c r="G809" s="490" t="s">
        <v>999</v>
      </c>
      <c r="H809" s="193" t="s">
        <v>799</v>
      </c>
      <c r="I809" s="252">
        <v>500</v>
      </c>
      <c r="J809" s="252">
        <v>9760</v>
      </c>
      <c r="K809" s="615">
        <f>ROUND(I809*J809,0)</f>
        <v>4880000</v>
      </c>
      <c r="L809" s="194" t="s">
        <v>284</v>
      </c>
      <c r="M809" s="194" t="s">
        <v>185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211"/>
      <c r="AB809" s="211"/>
      <c r="AC809" s="211"/>
      <c r="AD809" s="211"/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6"/>
        <v>41051</v>
      </c>
      <c r="D810" s="191" t="s">
        <v>1615</v>
      </c>
      <c r="E810" s="191">
        <v>41051</v>
      </c>
      <c r="F810" s="192" t="s">
        <v>1189</v>
      </c>
      <c r="G810" s="490" t="s">
        <v>999</v>
      </c>
      <c r="H810" s="193" t="s">
        <v>799</v>
      </c>
      <c r="I810" s="252">
        <v>982</v>
      </c>
      <c r="J810" s="252">
        <v>11040</v>
      </c>
      <c r="K810" s="38">
        <f>ROUND(I810*J810,0)</f>
        <v>10841280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6"/>
        <v>41051</v>
      </c>
      <c r="D811" s="191" t="s">
        <v>1615</v>
      </c>
      <c r="E811" s="191">
        <v>41051</v>
      </c>
      <c r="F811" s="192" t="s">
        <v>1000</v>
      </c>
      <c r="G811" s="490" t="s">
        <v>999</v>
      </c>
      <c r="H811" s="193" t="s">
        <v>799</v>
      </c>
      <c r="I811" s="252"/>
      <c r="J811" s="252"/>
      <c r="K811" s="38">
        <v>1989344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v>41052</v>
      </c>
      <c r="D812" s="191" t="s">
        <v>458</v>
      </c>
      <c r="E812" s="191">
        <v>41052</v>
      </c>
      <c r="F812" s="192" t="s">
        <v>403</v>
      </c>
      <c r="G812" s="490" t="s">
        <v>716</v>
      </c>
      <c r="H812" s="193" t="s">
        <v>405</v>
      </c>
      <c r="I812" s="252">
        <v>100</v>
      </c>
      <c r="J812" s="252">
        <v>25000</v>
      </c>
      <c r="K812" s="615">
        <v>2500000</v>
      </c>
      <c r="L812" s="194" t="s">
        <v>171</v>
      </c>
      <c r="M812" s="616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>x</v>
      </c>
      <c r="Z812" s="52" t="str">
        <f>IF(AND(B812&lt;=NKC!$N$8,B812&gt;=NKC!$M$8),"x","")</f>
        <v>x</v>
      </c>
      <c r="AC812" s="849"/>
      <c r="AD812" s="849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v>41052</v>
      </c>
      <c r="D813" s="191" t="s">
        <v>458</v>
      </c>
      <c r="E813" s="191">
        <v>41052</v>
      </c>
      <c r="F813" s="192" t="s">
        <v>404</v>
      </c>
      <c r="G813" s="490" t="s">
        <v>716</v>
      </c>
      <c r="H813" s="193" t="s">
        <v>405</v>
      </c>
      <c r="I813" s="252"/>
      <c r="J813" s="252"/>
      <c r="K813" s="38">
        <v>250000</v>
      </c>
      <c r="L813" s="194" t="s">
        <v>9</v>
      </c>
      <c r="M813" s="616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198">
        <v>7</v>
      </c>
      <c r="AC813" s="849"/>
      <c r="AD813" s="849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v>41052</v>
      </c>
      <c r="D814" s="191" t="s">
        <v>452</v>
      </c>
      <c r="E814" s="191">
        <v>41052</v>
      </c>
      <c r="F814" s="192" t="s">
        <v>400</v>
      </c>
      <c r="G814" s="490" t="s">
        <v>716</v>
      </c>
      <c r="H814" s="193" t="s">
        <v>405</v>
      </c>
      <c r="I814" s="252"/>
      <c r="J814" s="252"/>
      <c r="K814" s="615">
        <v>2750000</v>
      </c>
      <c r="L814" s="616" t="s">
        <v>8</v>
      </c>
      <c r="M814" s="616" t="s">
        <v>48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C814" s="849"/>
      <c r="AD814" s="849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v>41052</v>
      </c>
      <c r="D815" s="191" t="s">
        <v>453</v>
      </c>
      <c r="E815" s="191">
        <v>41052</v>
      </c>
      <c r="F815" s="192" t="s">
        <v>689</v>
      </c>
      <c r="G815" s="490" t="s">
        <v>717</v>
      </c>
      <c r="H815" s="193" t="s">
        <v>401</v>
      </c>
      <c r="I815" s="252"/>
      <c r="J815" s="252"/>
      <c r="K815" s="38">
        <v>2600000</v>
      </c>
      <c r="L815" s="194" t="s">
        <v>175</v>
      </c>
      <c r="M815" s="194" t="s">
        <v>48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>x</v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>154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C815" s="849"/>
      <c r="AD815" s="849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v>41052</v>
      </c>
      <c r="D816" s="191" t="s">
        <v>453</v>
      </c>
      <c r="E816" s="191">
        <v>41052</v>
      </c>
      <c r="F816" s="192" t="s">
        <v>372</v>
      </c>
      <c r="G816" s="490" t="s">
        <v>717</v>
      </c>
      <c r="H816" s="7" t="s">
        <v>401</v>
      </c>
      <c r="I816" s="254"/>
      <c r="J816" s="254"/>
      <c r="K816" s="615">
        <v>260000</v>
      </c>
      <c r="L816" s="194" t="s">
        <v>9</v>
      </c>
      <c r="M816" s="194" t="s">
        <v>48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>x</v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198">
        <v>5</v>
      </c>
      <c r="AC816" s="849"/>
      <c r="AD816" s="849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v>41052</v>
      </c>
      <c r="D817" s="184" t="s">
        <v>480</v>
      </c>
      <c r="E817" s="191">
        <v>41052</v>
      </c>
      <c r="F817" s="192" t="s">
        <v>1430</v>
      </c>
      <c r="G817" s="490" t="s">
        <v>718</v>
      </c>
      <c r="H817" s="7" t="s">
        <v>436</v>
      </c>
      <c r="I817" s="254">
        <v>500</v>
      </c>
      <c r="J817" s="254">
        <v>10584</v>
      </c>
      <c r="K817" s="38">
        <v>5292000</v>
      </c>
      <c r="L817" s="194" t="s">
        <v>169</v>
      </c>
      <c r="M817" s="616" t="s">
        <v>8</v>
      </c>
      <c r="N817" s="52" t="str">
        <f>IF(AND('331-CT'!$E$7=TH!H817,OR(L817="331",M817="331")),"331",IF(AND(OR(L817="131",M817="131"),H817='131-CT'!$E$7),"131",""))</f>
        <v>331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B817" s="606"/>
      <c r="AC817" s="849"/>
      <c r="AD817" s="849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84">
        <v>41052</v>
      </c>
      <c r="D818" s="184" t="s">
        <v>480</v>
      </c>
      <c r="E818" s="184">
        <v>41052</v>
      </c>
      <c r="F818" s="189" t="s">
        <v>1431</v>
      </c>
      <c r="G818" s="617" t="s">
        <v>718</v>
      </c>
      <c r="H818" s="7" t="s">
        <v>436</v>
      </c>
      <c r="I818" s="252">
        <v>200</v>
      </c>
      <c r="J818" s="252">
        <v>11882</v>
      </c>
      <c r="K818" s="615">
        <v>2376400</v>
      </c>
      <c r="L818" s="194" t="s">
        <v>169</v>
      </c>
      <c r="M818" s="616" t="s">
        <v>8</v>
      </c>
      <c r="N818" s="52" t="str">
        <f>IF(AND('331-CT'!$E$7=TH!H818,OR(L818="331",M818="331")),"331",IF(AND(OR(L818="131",M818="131"),H818='131-CT'!$E$7),"131",""))</f>
        <v>331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B818" s="606"/>
      <c r="AC818" s="851"/>
      <c r="AD818" s="85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v>41052</v>
      </c>
      <c r="D819" s="184" t="s">
        <v>480</v>
      </c>
      <c r="E819" s="191">
        <v>41052</v>
      </c>
      <c r="F819" s="192" t="s">
        <v>1432</v>
      </c>
      <c r="G819" s="490" t="s">
        <v>718</v>
      </c>
      <c r="H819" s="7" t="s">
        <v>436</v>
      </c>
      <c r="I819" s="252">
        <v>150</v>
      </c>
      <c r="J819" s="252">
        <v>10653</v>
      </c>
      <c r="K819" s="615">
        <v>1597950</v>
      </c>
      <c r="L819" s="194" t="s">
        <v>169</v>
      </c>
      <c r="M819" s="616" t="s">
        <v>8</v>
      </c>
      <c r="N819" s="52" t="str">
        <f>IF(AND('331-CT'!$E$7=TH!H819,OR(L819="331",M819="331")),"331",IF(AND(OR(L819="131",M819="131"),H819='131-CT'!$E$7),"131",""))</f>
        <v>331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B819" s="606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41052</v>
      </c>
      <c r="D820" s="184" t="s">
        <v>480</v>
      </c>
      <c r="E820" s="191">
        <v>41052</v>
      </c>
      <c r="F820" s="192" t="s">
        <v>1433</v>
      </c>
      <c r="G820" s="490" t="s">
        <v>718</v>
      </c>
      <c r="H820" s="7" t="s">
        <v>436</v>
      </c>
      <c r="I820" s="252">
        <v>150</v>
      </c>
      <c r="J820" s="252">
        <v>12606</v>
      </c>
      <c r="K820" s="615">
        <v>1890900</v>
      </c>
      <c r="L820" s="194" t="s">
        <v>169</v>
      </c>
      <c r="M820" s="616" t="s">
        <v>8</v>
      </c>
      <c r="N820" s="52" t="str">
        <f>IF(AND('331-CT'!$E$7=TH!H820,OR(L820="331",M820="331")),"331",IF(AND(OR(L820="131",M820="131"),H820='131-CT'!$E$7),"131",""))</f>
        <v>331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B820" s="606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41052</v>
      </c>
      <c r="D821" s="184" t="s">
        <v>480</v>
      </c>
      <c r="E821" s="191">
        <v>41052</v>
      </c>
      <c r="F821" s="192" t="s">
        <v>566</v>
      </c>
      <c r="G821" s="490" t="s">
        <v>718</v>
      </c>
      <c r="H821" s="7" t="s">
        <v>436</v>
      </c>
      <c r="I821" s="252"/>
      <c r="J821" s="252"/>
      <c r="K821" s="615">
        <v>1115725</v>
      </c>
      <c r="L821" s="194" t="s">
        <v>9</v>
      </c>
      <c r="M821" s="616" t="s">
        <v>8</v>
      </c>
      <c r="N821" s="52" t="str">
        <f>IF(AND('331-CT'!$E$7=TH!H821,OR(L821="331",M821="331")),"331",IF(AND(OR(L821="131",M821="131"),H821='131-CT'!$E$7),"131",""))</f>
        <v>331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198">
        <v>5</v>
      </c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41052</v>
      </c>
      <c r="D822" s="184" t="s">
        <v>454</v>
      </c>
      <c r="E822" s="191">
        <v>41052</v>
      </c>
      <c r="F822" s="192" t="s">
        <v>400</v>
      </c>
      <c r="G822" s="490" t="s">
        <v>718</v>
      </c>
      <c r="H822" s="7" t="s">
        <v>436</v>
      </c>
      <c r="I822" s="252"/>
      <c r="J822" s="252"/>
      <c r="K822" s="615">
        <v>12272975</v>
      </c>
      <c r="L822" s="616" t="s">
        <v>8</v>
      </c>
      <c r="M822" s="616" t="s">
        <v>48</v>
      </c>
      <c r="N822" s="52" t="str">
        <f>IF(AND('331-CT'!$E$7=TH!H822,OR(L822="331",M822="331")),"331",IF(AND(OR(L822="131",M822="131"),H822='131-CT'!$E$7),"131",""))</f>
        <v>331</v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41053</v>
      </c>
      <c r="D823" s="184" t="s">
        <v>481</v>
      </c>
      <c r="E823" s="191">
        <v>41053</v>
      </c>
      <c r="F823" s="192" t="s">
        <v>1434</v>
      </c>
      <c r="G823" s="490" t="s">
        <v>719</v>
      </c>
      <c r="H823" s="7" t="s">
        <v>436</v>
      </c>
      <c r="I823" s="252">
        <v>670</v>
      </c>
      <c r="J823" s="252">
        <v>4931</v>
      </c>
      <c r="K823" s="38">
        <v>3303770</v>
      </c>
      <c r="L823" s="194" t="s">
        <v>169</v>
      </c>
      <c r="M823" s="616" t="s">
        <v>8</v>
      </c>
      <c r="N823" s="52" t="str">
        <f>IF(AND('331-CT'!$E$7=TH!H823,OR(L823="331",M823="331")),"331",IF(AND(OR(L823="131",M823="131"),H823='131-CT'!$E$7),"131",""))</f>
        <v>331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B823" s="606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41053</v>
      </c>
      <c r="D824" s="184" t="s">
        <v>481</v>
      </c>
      <c r="E824" s="191">
        <v>41053</v>
      </c>
      <c r="F824" s="192" t="s">
        <v>1431</v>
      </c>
      <c r="G824" s="490" t="s">
        <v>719</v>
      </c>
      <c r="H824" s="7" t="s">
        <v>436</v>
      </c>
      <c r="I824" s="252">
        <v>300</v>
      </c>
      <c r="J824" s="252">
        <v>11882</v>
      </c>
      <c r="K824" s="615">
        <v>3564600</v>
      </c>
      <c r="L824" s="194" t="s">
        <v>169</v>
      </c>
      <c r="M824" s="616" t="s">
        <v>8</v>
      </c>
      <c r="N824" s="52" t="str">
        <f>IF(AND('331-CT'!$E$7=TH!H824,OR(L824="331",M824="331")),"331",IF(AND(OR(L824="131",M824="131"),H824='131-CT'!$E$7),"131",""))</f>
        <v>331</v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B824" s="606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41053</v>
      </c>
      <c r="D825" s="184" t="s">
        <v>481</v>
      </c>
      <c r="E825" s="191">
        <v>41053</v>
      </c>
      <c r="F825" s="192" t="s">
        <v>1435</v>
      </c>
      <c r="G825" s="490" t="s">
        <v>719</v>
      </c>
      <c r="H825" s="7" t="s">
        <v>436</v>
      </c>
      <c r="I825" s="252">
        <v>300</v>
      </c>
      <c r="J825" s="252">
        <v>20341</v>
      </c>
      <c r="K825" s="38">
        <v>6102300</v>
      </c>
      <c r="L825" s="194" t="s">
        <v>169</v>
      </c>
      <c r="M825" s="616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6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41053</v>
      </c>
      <c r="D826" s="184" t="s">
        <v>481</v>
      </c>
      <c r="E826" s="191">
        <v>41053</v>
      </c>
      <c r="F826" s="192" t="s">
        <v>1436</v>
      </c>
      <c r="G826" s="490" t="s">
        <v>719</v>
      </c>
      <c r="H826" s="7" t="s">
        <v>436</v>
      </c>
      <c r="I826" s="252">
        <v>200</v>
      </c>
      <c r="J826" s="252">
        <v>11712</v>
      </c>
      <c r="K826" s="38">
        <v>2342400</v>
      </c>
      <c r="L826" s="194" t="s">
        <v>169</v>
      </c>
      <c r="M826" s="616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6"/>
    </row>
    <row r="827" spans="1:30" ht="15.75" customHeight="1">
      <c r="A827" s="204" t="str">
        <f>IF(B827&lt;&gt;"",IF(AND(B827&gt;=_TM1,B827&lt;=_TM2,OR(TH!L827="1111",TH!M827="1111")),TH!D827,""),"")</f>
        <v/>
      </c>
      <c r="B827" s="850">
        <f t="shared" si="55"/>
        <v>5</v>
      </c>
      <c r="C827" s="191">
        <v>41053</v>
      </c>
      <c r="D827" s="184" t="s">
        <v>481</v>
      </c>
      <c r="E827" s="191">
        <v>41053</v>
      </c>
      <c r="F827" s="192" t="s">
        <v>1315</v>
      </c>
      <c r="G827" s="490" t="s">
        <v>719</v>
      </c>
      <c r="H827" s="7" t="s">
        <v>436</v>
      </c>
      <c r="I827" s="252">
        <v>250</v>
      </c>
      <c r="J827" s="252">
        <v>15377</v>
      </c>
      <c r="K827" s="615">
        <v>3844250</v>
      </c>
      <c r="L827" s="194" t="s">
        <v>169</v>
      </c>
      <c r="M827" s="616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1"/>
      <c r="AB827" s="606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41053</v>
      </c>
      <c r="D828" s="184" t="s">
        <v>481</v>
      </c>
      <c r="E828" s="191">
        <v>41053</v>
      </c>
      <c r="F828" s="192" t="s">
        <v>566</v>
      </c>
      <c r="G828" s="490" t="s">
        <v>719</v>
      </c>
      <c r="H828" s="7" t="s">
        <v>436</v>
      </c>
      <c r="I828" s="252"/>
      <c r="J828" s="252"/>
      <c r="K828" s="615">
        <v>1915732</v>
      </c>
      <c r="L828" s="194" t="s">
        <v>9</v>
      </c>
      <c r="M828" s="616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198">
        <v>5</v>
      </c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55"/>
        <v>5</v>
      </c>
      <c r="C829" s="191">
        <f t="shared" ref="C829:C843" si="57">E829</f>
        <v>41053</v>
      </c>
      <c r="D829" s="191" t="s">
        <v>1616</v>
      </c>
      <c r="E829" s="191">
        <v>41053</v>
      </c>
      <c r="F829" s="879" t="s">
        <v>1187</v>
      </c>
      <c r="G829" s="490" t="s">
        <v>1001</v>
      </c>
      <c r="H829" s="193" t="s">
        <v>976</v>
      </c>
      <c r="I829" s="252">
        <v>299</v>
      </c>
      <c r="J829" s="252">
        <v>6120</v>
      </c>
      <c r="K829" s="38">
        <f>ROUND(I829*J829,0)</f>
        <v>1829880</v>
      </c>
      <c r="L829" s="194" t="s">
        <v>284</v>
      </c>
      <c r="M829" s="194" t="s">
        <v>185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211"/>
      <c r="AB829" s="211"/>
      <c r="AC829" s="211"/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55"/>
        <v>5</v>
      </c>
      <c r="C830" s="191">
        <f t="shared" si="57"/>
        <v>41053</v>
      </c>
      <c r="D830" s="191" t="s">
        <v>1616</v>
      </c>
      <c r="E830" s="191">
        <v>41053</v>
      </c>
      <c r="F830" s="879" t="s">
        <v>1188</v>
      </c>
      <c r="G830" s="490" t="s">
        <v>1001</v>
      </c>
      <c r="H830" s="193" t="s">
        <v>976</v>
      </c>
      <c r="I830" s="252">
        <v>296</v>
      </c>
      <c r="J830" s="252">
        <v>7495</v>
      </c>
      <c r="K830" s="38">
        <f>ROUND(I830*J830,0)</f>
        <v>2218520</v>
      </c>
      <c r="L830" s="194" t="s">
        <v>284</v>
      </c>
      <c r="M830" s="194" t="s">
        <v>185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211"/>
      <c r="AB830" s="211"/>
      <c r="AC830" s="211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55"/>
        <v>5</v>
      </c>
      <c r="C831" s="191">
        <f t="shared" si="57"/>
        <v>41053</v>
      </c>
      <c r="D831" s="191" t="s">
        <v>1616</v>
      </c>
      <c r="E831" s="191">
        <v>41053</v>
      </c>
      <c r="F831" s="192" t="s">
        <v>555</v>
      </c>
      <c r="G831" s="490" t="s">
        <v>1001</v>
      </c>
      <c r="H831" s="193" t="s">
        <v>976</v>
      </c>
      <c r="I831" s="252"/>
      <c r="J831" s="252"/>
      <c r="K831" s="38">
        <v>404840</v>
      </c>
      <c r="L831" s="194" t="s">
        <v>284</v>
      </c>
      <c r="M831" s="194" t="s">
        <v>495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55"/>
        <v>5</v>
      </c>
      <c r="C832" s="191">
        <f t="shared" si="57"/>
        <v>41053</v>
      </c>
      <c r="D832" s="191" t="s">
        <v>1655</v>
      </c>
      <c r="E832" s="191">
        <v>41053</v>
      </c>
      <c r="F832" s="192" t="s">
        <v>365</v>
      </c>
      <c r="G832" s="490" t="s">
        <v>1001</v>
      </c>
      <c r="H832" s="193" t="s">
        <v>976</v>
      </c>
      <c r="I832" s="252"/>
      <c r="J832" s="252"/>
      <c r="K832" s="38">
        <v>4453240</v>
      </c>
      <c r="L832" s="194" t="s">
        <v>48</v>
      </c>
      <c r="M832" s="194" t="s">
        <v>284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55"/>
        <v>5</v>
      </c>
      <c r="C833" s="191">
        <f t="shared" si="57"/>
        <v>41053</v>
      </c>
      <c r="D833" s="191" t="s">
        <v>1617</v>
      </c>
      <c r="E833" s="191">
        <v>41053</v>
      </c>
      <c r="F833" s="192" t="s">
        <v>1186</v>
      </c>
      <c r="G833" s="490" t="s">
        <v>1002</v>
      </c>
      <c r="H833" s="210" t="s">
        <v>927</v>
      </c>
      <c r="I833" s="254">
        <v>484</v>
      </c>
      <c r="J833" s="254">
        <v>17850</v>
      </c>
      <c r="K833" s="38">
        <f>ROUND(I833*J833,0)</f>
        <v>8639400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customHeight="1">
      <c r="A834" s="204" t="str">
        <f>IF(B834&lt;&gt;"",IF(AND(B834&gt;=_TM1,B834&lt;=_TM2,OR(TH!L834="1111",TH!M834="1111")),TH!D834,""),"")</f>
        <v/>
      </c>
      <c r="B834" s="36">
        <f t="shared" si="55"/>
        <v>5</v>
      </c>
      <c r="C834" s="191">
        <f t="shared" si="57"/>
        <v>41053</v>
      </c>
      <c r="D834" s="191" t="s">
        <v>1617</v>
      </c>
      <c r="E834" s="191">
        <v>41053</v>
      </c>
      <c r="F834" s="192" t="s">
        <v>555</v>
      </c>
      <c r="G834" s="490" t="s">
        <v>1002</v>
      </c>
      <c r="H834" s="210" t="s">
        <v>927</v>
      </c>
      <c r="I834" s="252"/>
      <c r="J834" s="252"/>
      <c r="K834" s="38">
        <v>863940</v>
      </c>
      <c r="L834" s="194" t="s">
        <v>284</v>
      </c>
      <c r="M834" s="194" t="s">
        <v>495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si="55"/>
        <v>5</v>
      </c>
      <c r="C835" s="191">
        <f t="shared" si="57"/>
        <v>41053</v>
      </c>
      <c r="D835" s="191" t="s">
        <v>1656</v>
      </c>
      <c r="E835" s="191">
        <v>41053</v>
      </c>
      <c r="F835" s="192" t="s">
        <v>365</v>
      </c>
      <c r="G835" s="490" t="s">
        <v>1002</v>
      </c>
      <c r="H835" s="210" t="s">
        <v>927</v>
      </c>
      <c r="I835" s="252"/>
      <c r="J835" s="252"/>
      <c r="K835" s="38">
        <v>9503340</v>
      </c>
      <c r="L835" s="194" t="s">
        <v>48</v>
      </c>
      <c r="M835" s="194" t="s">
        <v>284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>x</v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55"/>
        <v>5</v>
      </c>
      <c r="C836" s="191">
        <f t="shared" si="57"/>
        <v>41053</v>
      </c>
      <c r="D836" s="191" t="s">
        <v>1618</v>
      </c>
      <c r="E836" s="191">
        <v>41053</v>
      </c>
      <c r="F836" s="192" t="s">
        <v>1185</v>
      </c>
      <c r="G836" s="490" t="s">
        <v>1003</v>
      </c>
      <c r="H836" s="193" t="s">
        <v>812</v>
      </c>
      <c r="I836" s="252">
        <v>850</v>
      </c>
      <c r="J836" s="252">
        <v>20790</v>
      </c>
      <c r="K836" s="38">
        <f>ROUND(I836*J836,0)</f>
        <v>17671500</v>
      </c>
      <c r="L836" s="194" t="s">
        <v>284</v>
      </c>
      <c r="M836" s="194" t="s">
        <v>185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211"/>
      <c r="AB836" s="211"/>
      <c r="AC836" s="211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55"/>
        <v>5</v>
      </c>
      <c r="C837" s="191">
        <f t="shared" si="57"/>
        <v>41053</v>
      </c>
      <c r="D837" s="191" t="s">
        <v>1618</v>
      </c>
      <c r="E837" s="191">
        <v>41053</v>
      </c>
      <c r="F837" s="192" t="s">
        <v>1184</v>
      </c>
      <c r="G837" s="490" t="s">
        <v>1003</v>
      </c>
      <c r="H837" s="193" t="s">
        <v>812</v>
      </c>
      <c r="I837" s="252">
        <v>450</v>
      </c>
      <c r="J837" s="252">
        <v>13200</v>
      </c>
      <c r="K837" s="38">
        <f>ROUND(I837*J837,0)</f>
        <v>5940000</v>
      </c>
      <c r="L837" s="194" t="s">
        <v>284</v>
      </c>
      <c r="M837" s="194" t="s">
        <v>185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211"/>
      <c r="AB837" s="211"/>
      <c r="AC837" s="211"/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55"/>
        <v>5</v>
      </c>
      <c r="C838" s="191">
        <f t="shared" si="57"/>
        <v>41053</v>
      </c>
      <c r="D838" s="191" t="s">
        <v>1618</v>
      </c>
      <c r="E838" s="191">
        <v>41053</v>
      </c>
      <c r="F838" s="192" t="s">
        <v>1183</v>
      </c>
      <c r="G838" s="490" t="s">
        <v>1003</v>
      </c>
      <c r="H838" s="193" t="s">
        <v>812</v>
      </c>
      <c r="I838" s="252">
        <v>450</v>
      </c>
      <c r="J838" s="252">
        <v>21450</v>
      </c>
      <c r="K838" s="38">
        <f>ROUND(I838*J838,0)</f>
        <v>9652500</v>
      </c>
      <c r="L838" s="194" t="s">
        <v>284</v>
      </c>
      <c r="M838" s="194" t="s">
        <v>185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211"/>
      <c r="AB838" s="211"/>
      <c r="AC838" s="211"/>
      <c r="AD838" s="211"/>
    </row>
    <row r="839" spans="1:30" ht="15.75" customHeight="1">
      <c r="A839" s="204" t="str">
        <f>IF(B839&lt;&gt;"",IF(AND(B839&gt;=_TM1,B839&lt;=_TM2,OR(TH!L839="1111",TH!M839="1111")),TH!D839,""),"")</f>
        <v/>
      </c>
      <c r="B839" s="36">
        <f t="shared" si="55"/>
        <v>5</v>
      </c>
      <c r="C839" s="191">
        <f t="shared" si="57"/>
        <v>41053</v>
      </c>
      <c r="D839" s="191" t="s">
        <v>1618</v>
      </c>
      <c r="E839" s="191">
        <v>41053</v>
      </c>
      <c r="F839" s="192" t="s">
        <v>555</v>
      </c>
      <c r="G839" s="490" t="s">
        <v>1003</v>
      </c>
      <c r="H839" s="193" t="s">
        <v>812</v>
      </c>
      <c r="I839" s="252"/>
      <c r="J839" s="252"/>
      <c r="K839" s="38">
        <v>3326400</v>
      </c>
      <c r="L839" s="194" t="s">
        <v>284</v>
      </c>
      <c r="M839" s="194" t="s">
        <v>495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si="55"/>
        <v>5</v>
      </c>
      <c r="C840" s="191">
        <f t="shared" si="57"/>
        <v>41053</v>
      </c>
      <c r="D840" s="191" t="s">
        <v>1619</v>
      </c>
      <c r="E840" s="191">
        <v>41053</v>
      </c>
      <c r="F840" s="192" t="s">
        <v>723</v>
      </c>
      <c r="G840" s="490" t="s">
        <v>1004</v>
      </c>
      <c r="H840" s="852" t="s">
        <v>762</v>
      </c>
      <c r="I840" s="252">
        <v>300</v>
      </c>
      <c r="J840" s="252">
        <v>27728</v>
      </c>
      <c r="K840" s="38">
        <f>ROUND(I840*J840,0)</f>
        <v>8318400</v>
      </c>
      <c r="L840" s="194" t="s">
        <v>284</v>
      </c>
      <c r="M840" s="194" t="s">
        <v>185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211"/>
      <c r="AB840" s="211"/>
      <c r="AC840" s="211"/>
      <c r="AD840" s="211"/>
    </row>
    <row r="841" spans="1:30" ht="15.75" customHeight="1">
      <c r="A841" s="204" t="str">
        <f>IF(B841&lt;&gt;"",IF(AND(B841&gt;=_TM1,B841&lt;=_TM2,OR(TH!L841="1111",TH!M841="1111")),TH!D841,""),"")</f>
        <v/>
      </c>
      <c r="B841" s="36">
        <f t="shared" si="55"/>
        <v>5</v>
      </c>
      <c r="C841" s="191">
        <f t="shared" si="57"/>
        <v>41053</v>
      </c>
      <c r="D841" s="191" t="s">
        <v>1619</v>
      </c>
      <c r="E841" s="191">
        <v>41053</v>
      </c>
      <c r="F841" s="192" t="s">
        <v>724</v>
      </c>
      <c r="G841" s="490" t="s">
        <v>1004</v>
      </c>
      <c r="H841" s="852" t="s">
        <v>762</v>
      </c>
      <c r="I841" s="252">
        <v>500</v>
      </c>
      <c r="J841" s="252">
        <v>19692</v>
      </c>
      <c r="K841" s="38">
        <f>ROUND(I841*J841,0)</f>
        <v>9846000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customHeight="1">
      <c r="A842" s="204" t="str">
        <f>IF(B842&lt;&gt;"",IF(AND(B842&gt;=_TM1,B842&lt;=_TM2,OR(TH!L842="1111",TH!M842="1111")),TH!D842,""),"")</f>
        <v/>
      </c>
      <c r="B842" s="36">
        <f t="shared" si="55"/>
        <v>5</v>
      </c>
      <c r="C842" s="191">
        <f t="shared" si="57"/>
        <v>41053</v>
      </c>
      <c r="D842" s="191" t="s">
        <v>1619</v>
      </c>
      <c r="E842" s="191">
        <v>41053</v>
      </c>
      <c r="F842" s="192" t="s">
        <v>1005</v>
      </c>
      <c r="G842" s="490" t="s">
        <v>1004</v>
      </c>
      <c r="H842" s="852" t="s">
        <v>762</v>
      </c>
      <c r="I842" s="252"/>
      <c r="J842" s="252"/>
      <c r="K842" s="38">
        <v>1816440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55"/>
        <v>5</v>
      </c>
      <c r="C843" s="191">
        <f t="shared" si="57"/>
        <v>41053</v>
      </c>
      <c r="D843" s="191" t="s">
        <v>1657</v>
      </c>
      <c r="E843" s="191">
        <v>41053</v>
      </c>
      <c r="F843" s="192" t="s">
        <v>365</v>
      </c>
      <c r="G843" s="490" t="s">
        <v>1004</v>
      </c>
      <c r="H843" s="852" t="s">
        <v>762</v>
      </c>
      <c r="I843" s="252"/>
      <c r="J843" s="252"/>
      <c r="K843" s="38">
        <v>19980840</v>
      </c>
      <c r="L843" s="194" t="s">
        <v>48</v>
      </c>
      <c r="M843" s="194" t="s">
        <v>284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>x</v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55"/>
        <v>5</v>
      </c>
      <c r="C844" s="191">
        <v>41054</v>
      </c>
      <c r="D844" s="191" t="s">
        <v>363</v>
      </c>
      <c r="E844" s="191">
        <v>41054</v>
      </c>
      <c r="F844" s="192" t="s">
        <v>365</v>
      </c>
      <c r="G844" s="490" t="s">
        <v>361</v>
      </c>
      <c r="H844" s="7" t="s">
        <v>632</v>
      </c>
      <c r="I844" s="252"/>
      <c r="J844" s="252"/>
      <c r="K844" s="38">
        <v>28280776</v>
      </c>
      <c r="L844" s="194" t="s">
        <v>24</v>
      </c>
      <c r="M844" s="194" t="s">
        <v>284</v>
      </c>
      <c r="N844" s="52" t="str">
        <f>IF(AND('331-CT'!$E$7=TH!H844,OR(L844="331",M844="331")),"331",IF(AND(OR(L844="131",M844="131"),H844='131-CT'!$E$7),"131",""))</f>
        <v>131</v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>x</v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55"/>
        <v>5</v>
      </c>
      <c r="C845" s="191">
        <v>41054</v>
      </c>
      <c r="D845" s="191" t="s">
        <v>363</v>
      </c>
      <c r="E845" s="191">
        <v>41054</v>
      </c>
      <c r="F845" s="192" t="s">
        <v>398</v>
      </c>
      <c r="G845" s="490" t="s">
        <v>361</v>
      </c>
      <c r="H845" s="193"/>
      <c r="I845" s="252"/>
      <c r="J845" s="252"/>
      <c r="K845" s="615">
        <v>44102</v>
      </c>
      <c r="L845" s="194" t="s">
        <v>24</v>
      </c>
      <c r="M845" s="194" t="s">
        <v>40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55"/>
        <v>5</v>
      </c>
      <c r="C846" s="191">
        <v>41054</v>
      </c>
      <c r="D846" s="191" t="s">
        <v>459</v>
      </c>
      <c r="E846" s="191">
        <v>41054</v>
      </c>
      <c r="F846" s="192" t="s">
        <v>370</v>
      </c>
      <c r="G846" s="490" t="s">
        <v>720</v>
      </c>
      <c r="H846" s="193" t="s">
        <v>406</v>
      </c>
      <c r="I846" s="252">
        <v>72</v>
      </c>
      <c r="J846" s="252">
        <v>42000</v>
      </c>
      <c r="K846" s="615">
        <v>3024000</v>
      </c>
      <c r="L846" s="194" t="s">
        <v>171</v>
      </c>
      <c r="M846" s="616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customHeight="1">
      <c r="A847" s="204" t="str">
        <f>IF(B847&lt;&gt;"",IF(AND(B847&gt;=_TM1,B847&lt;=_TM2,OR(TH!L847="1111",TH!M847="1111")),TH!D847,""),"")</f>
        <v/>
      </c>
      <c r="B847" s="36">
        <f t="shared" si="55"/>
        <v>5</v>
      </c>
      <c r="C847" s="191">
        <v>41054</v>
      </c>
      <c r="D847" s="191" t="s">
        <v>459</v>
      </c>
      <c r="E847" s="191">
        <v>41054</v>
      </c>
      <c r="F847" s="192" t="s">
        <v>371</v>
      </c>
      <c r="G847" s="490" t="s">
        <v>720</v>
      </c>
      <c r="H847" s="193" t="s">
        <v>406</v>
      </c>
      <c r="I847" s="252"/>
      <c r="J847" s="252"/>
      <c r="K847" s="615">
        <v>302400</v>
      </c>
      <c r="L847" s="194" t="s">
        <v>9</v>
      </c>
      <c r="M847" s="616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198">
        <v>5</v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55"/>
        <v>5</v>
      </c>
      <c r="C848" s="191">
        <v>41054</v>
      </c>
      <c r="D848" s="191" t="s">
        <v>455</v>
      </c>
      <c r="E848" s="191">
        <v>41054</v>
      </c>
      <c r="F848" s="192" t="s">
        <v>400</v>
      </c>
      <c r="G848" s="490" t="s">
        <v>720</v>
      </c>
      <c r="H848" s="193" t="s">
        <v>406</v>
      </c>
      <c r="I848" s="252"/>
      <c r="J848" s="252"/>
      <c r="K848" s="615">
        <v>3326400</v>
      </c>
      <c r="L848" s="616" t="s">
        <v>8</v>
      </c>
      <c r="M848" s="616" t="s">
        <v>48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>x</v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55"/>
        <v>5</v>
      </c>
      <c r="C849" s="191">
        <v>41054</v>
      </c>
      <c r="D849" s="184" t="s">
        <v>482</v>
      </c>
      <c r="E849" s="191">
        <v>41054</v>
      </c>
      <c r="F849" s="192" t="s">
        <v>1316</v>
      </c>
      <c r="G849" s="490" t="s">
        <v>721</v>
      </c>
      <c r="H849" s="7" t="s">
        <v>436</v>
      </c>
      <c r="I849" s="252">
        <v>205</v>
      </c>
      <c r="J849" s="252">
        <v>21119</v>
      </c>
      <c r="K849" s="615">
        <v>4329395</v>
      </c>
      <c r="L849" s="194" t="s">
        <v>169</v>
      </c>
      <c r="M849" s="616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B849" s="606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55"/>
        <v>5</v>
      </c>
      <c r="C850" s="191">
        <v>41054</v>
      </c>
      <c r="D850" s="184" t="s">
        <v>482</v>
      </c>
      <c r="E850" s="191">
        <v>41054</v>
      </c>
      <c r="F850" s="192" t="s">
        <v>722</v>
      </c>
      <c r="G850" s="490" t="s">
        <v>721</v>
      </c>
      <c r="H850" s="7" t="s">
        <v>436</v>
      </c>
      <c r="I850" s="252">
        <v>500</v>
      </c>
      <c r="J850" s="252">
        <v>17219</v>
      </c>
      <c r="K850" s="615">
        <v>8609500</v>
      </c>
      <c r="L850" s="194" t="s">
        <v>177</v>
      </c>
      <c r="M850" s="616" t="s">
        <v>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B850" s="606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55"/>
        <v>5</v>
      </c>
      <c r="C851" s="191">
        <v>41054</v>
      </c>
      <c r="D851" s="184" t="s">
        <v>482</v>
      </c>
      <c r="E851" s="191">
        <v>41054</v>
      </c>
      <c r="F851" s="192" t="s">
        <v>723</v>
      </c>
      <c r="G851" s="490" t="s">
        <v>721</v>
      </c>
      <c r="H851" s="7" t="s">
        <v>436</v>
      </c>
      <c r="I851" s="252">
        <v>300</v>
      </c>
      <c r="J851" s="252">
        <v>26644</v>
      </c>
      <c r="K851" s="615">
        <v>7993200</v>
      </c>
      <c r="L851" s="194" t="s">
        <v>177</v>
      </c>
      <c r="M851" s="616" t="s">
        <v>8</v>
      </c>
      <c r="N851" s="52" t="str">
        <f>IF(AND('331-CT'!$E$7=TH!H851,OR(L851="331",M851="331")),"331",IF(AND(OR(L851="131",M851="131"),H851='131-CT'!$E$7),"131",""))</f>
        <v>331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B851" s="606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55"/>
        <v>5</v>
      </c>
      <c r="C852" s="191">
        <v>41054</v>
      </c>
      <c r="D852" s="184" t="s">
        <v>482</v>
      </c>
      <c r="E852" s="191">
        <v>41054</v>
      </c>
      <c r="F852" s="192" t="s">
        <v>724</v>
      </c>
      <c r="G852" s="490" t="s">
        <v>721</v>
      </c>
      <c r="H852" s="7" t="s">
        <v>436</v>
      </c>
      <c r="I852" s="252">
        <v>500</v>
      </c>
      <c r="J852" s="252">
        <v>18923</v>
      </c>
      <c r="K852" s="615">
        <v>9461500</v>
      </c>
      <c r="L852" s="194" t="s">
        <v>177</v>
      </c>
      <c r="M852" s="616" t="s">
        <v>8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B852" s="606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:B916" si="58">IF(C853&lt;&gt;"",MONTH(C853),"")</f>
        <v>5</v>
      </c>
      <c r="C853" s="191">
        <v>41054</v>
      </c>
      <c r="D853" s="184" t="s">
        <v>482</v>
      </c>
      <c r="E853" s="191">
        <v>41054</v>
      </c>
      <c r="F853" s="192" t="s">
        <v>725</v>
      </c>
      <c r="G853" s="490" t="s">
        <v>721</v>
      </c>
      <c r="H853" s="7" t="s">
        <v>436</v>
      </c>
      <c r="I853" s="252">
        <v>500</v>
      </c>
      <c r="J853" s="252">
        <v>19974</v>
      </c>
      <c r="K853" s="38">
        <v>9987000</v>
      </c>
      <c r="L853" s="194" t="s">
        <v>177</v>
      </c>
      <c r="M853" s="616" t="s">
        <v>8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B853" s="606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41054</v>
      </c>
      <c r="D854" s="184" t="s">
        <v>482</v>
      </c>
      <c r="E854" s="191">
        <v>41054</v>
      </c>
      <c r="F854" s="192" t="s">
        <v>726</v>
      </c>
      <c r="G854" s="490" t="s">
        <v>721</v>
      </c>
      <c r="H854" s="7" t="s">
        <v>436</v>
      </c>
      <c r="I854" s="252">
        <v>500</v>
      </c>
      <c r="J854" s="252">
        <v>14500</v>
      </c>
      <c r="K854" s="615">
        <v>7250000</v>
      </c>
      <c r="L854" s="194" t="s">
        <v>177</v>
      </c>
      <c r="M854" s="616" t="s">
        <v>8</v>
      </c>
      <c r="N854" s="52" t="str">
        <f>IF(AND('331-CT'!$E$7=TH!H854,OR(L854="331",M854="331")),"331",IF(AND(OR(L854="131",M854="131"),H854='131-CT'!$E$7),"131",""))</f>
        <v>331</v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B854" s="606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41054</v>
      </c>
      <c r="D855" s="184" t="s">
        <v>482</v>
      </c>
      <c r="E855" s="191">
        <v>41054</v>
      </c>
      <c r="F855" s="192" t="s">
        <v>727</v>
      </c>
      <c r="G855" s="490" t="s">
        <v>721</v>
      </c>
      <c r="H855" s="7" t="s">
        <v>436</v>
      </c>
      <c r="I855" s="252">
        <v>300</v>
      </c>
      <c r="J855" s="252">
        <v>31103</v>
      </c>
      <c r="K855" s="615">
        <v>9330900</v>
      </c>
      <c r="L855" s="194" t="s">
        <v>177</v>
      </c>
      <c r="M855" s="616" t="s">
        <v>8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B855" s="606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41054</v>
      </c>
      <c r="D856" s="184" t="s">
        <v>482</v>
      </c>
      <c r="E856" s="191">
        <v>41054</v>
      </c>
      <c r="F856" s="192" t="s">
        <v>566</v>
      </c>
      <c r="G856" s="490" t="s">
        <v>721</v>
      </c>
      <c r="H856" s="7" t="s">
        <v>436</v>
      </c>
      <c r="I856" s="252"/>
      <c r="J856" s="252"/>
      <c r="K856" s="38">
        <v>5696150</v>
      </c>
      <c r="L856" s="194" t="s">
        <v>9</v>
      </c>
      <c r="M856" s="616" t="s">
        <v>8</v>
      </c>
      <c r="N856" s="52" t="str">
        <f>IF(AND('331-CT'!$E$7=TH!H856,OR(L856="331",M856="331")),"331",IF(AND(OR(L856="131",M856="131"),H856='131-CT'!$E$7),"131",""))</f>
        <v>331</v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198">
        <v>5</v>
      </c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f>E857</f>
        <v>41054</v>
      </c>
      <c r="D857" s="191" t="s">
        <v>1620</v>
      </c>
      <c r="E857" s="191">
        <v>41054</v>
      </c>
      <c r="F857" s="192" t="s">
        <v>726</v>
      </c>
      <c r="G857" s="490" t="s">
        <v>1006</v>
      </c>
      <c r="H857" s="852" t="s">
        <v>762</v>
      </c>
      <c r="I857" s="252">
        <v>500</v>
      </c>
      <c r="J857" s="252">
        <v>15090</v>
      </c>
      <c r="K857" s="38">
        <f>ROUND(I857*J857,0)</f>
        <v>7545000</v>
      </c>
      <c r="L857" s="194" t="s">
        <v>284</v>
      </c>
      <c r="M857" s="194" t="s">
        <v>185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211"/>
      <c r="AB857" s="211"/>
      <c r="AC857" s="211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f>E858</f>
        <v>41054</v>
      </c>
      <c r="D858" s="191" t="s">
        <v>1620</v>
      </c>
      <c r="E858" s="191">
        <v>41054</v>
      </c>
      <c r="F858" s="192" t="s">
        <v>722</v>
      </c>
      <c r="G858" s="490" t="s">
        <v>1006</v>
      </c>
      <c r="H858" s="852" t="s">
        <v>762</v>
      </c>
      <c r="I858" s="252">
        <v>500</v>
      </c>
      <c r="J858" s="252">
        <v>17919</v>
      </c>
      <c r="K858" s="38">
        <f>ROUND(I858*J858,0)</f>
        <v>8959500</v>
      </c>
      <c r="L858" s="194" t="s">
        <v>284</v>
      </c>
      <c r="M858" s="194" t="s">
        <v>185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211"/>
      <c r="AB858" s="211"/>
      <c r="AC858" s="211"/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f>E859</f>
        <v>41054</v>
      </c>
      <c r="D859" s="191" t="s">
        <v>1620</v>
      </c>
      <c r="E859" s="191">
        <v>41054</v>
      </c>
      <c r="F859" s="192" t="s">
        <v>1005</v>
      </c>
      <c r="G859" s="490" t="s">
        <v>1006</v>
      </c>
      <c r="H859" s="852" t="s">
        <v>762</v>
      </c>
      <c r="I859" s="252"/>
      <c r="J859" s="252"/>
      <c r="K859" s="38">
        <v>1650450</v>
      </c>
      <c r="L859" s="194" t="s">
        <v>284</v>
      </c>
      <c r="M859" s="194" t="s">
        <v>495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f>E860</f>
        <v>41054</v>
      </c>
      <c r="D860" s="191" t="s">
        <v>1658</v>
      </c>
      <c r="E860" s="191">
        <v>41054</v>
      </c>
      <c r="F860" s="192" t="s">
        <v>365</v>
      </c>
      <c r="G860" s="490" t="s">
        <v>1006</v>
      </c>
      <c r="H860" s="852" t="s">
        <v>762</v>
      </c>
      <c r="I860" s="252"/>
      <c r="J860" s="252"/>
      <c r="K860" s="38">
        <v>18154950</v>
      </c>
      <c r="L860" s="194" t="s">
        <v>48</v>
      </c>
      <c r="M860" s="194" t="s">
        <v>284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>x</v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84">
        <v>41055</v>
      </c>
      <c r="D861" s="184" t="s">
        <v>483</v>
      </c>
      <c r="E861" s="184">
        <v>41055</v>
      </c>
      <c r="F861" s="189" t="s">
        <v>1386</v>
      </c>
      <c r="G861" s="617" t="s">
        <v>728</v>
      </c>
      <c r="H861" s="7" t="s">
        <v>436</v>
      </c>
      <c r="I861" s="252">
        <v>340</v>
      </c>
      <c r="J861" s="252">
        <v>11176</v>
      </c>
      <c r="K861" s="615">
        <v>3799840</v>
      </c>
      <c r="L861" s="194" t="s">
        <v>169</v>
      </c>
      <c r="M861" s="616" t="s">
        <v>8</v>
      </c>
      <c r="N861" s="52" t="str">
        <f>IF(AND('331-CT'!$E$7=TH!H861,OR(L861="331",M861="331")),"331",IF(AND(OR(L861="131",M861="131"),H861='131-CT'!$E$7),"131",""))</f>
        <v>331</v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6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84">
        <v>41055</v>
      </c>
      <c r="D862" s="184" t="s">
        <v>483</v>
      </c>
      <c r="E862" s="184">
        <v>41055</v>
      </c>
      <c r="F862" s="189" t="s">
        <v>1437</v>
      </c>
      <c r="G862" s="617" t="s">
        <v>728</v>
      </c>
      <c r="H862" s="7" t="s">
        <v>436</v>
      </c>
      <c r="I862" s="252">
        <v>120</v>
      </c>
      <c r="J862" s="252">
        <v>11578</v>
      </c>
      <c r="K862" s="615">
        <v>1389360</v>
      </c>
      <c r="L862" s="194" t="s">
        <v>169</v>
      </c>
      <c r="M862" s="616" t="s">
        <v>8</v>
      </c>
      <c r="N862" s="52" t="str">
        <f>IF(AND('331-CT'!$E$7=TH!H862,OR(L862="331",M862="331")),"331",IF(AND(OR(L862="131",M862="131"),H862='131-CT'!$E$7),"131",""))</f>
        <v>331</v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6"/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84">
        <v>41055</v>
      </c>
      <c r="D863" s="184" t="s">
        <v>483</v>
      </c>
      <c r="E863" s="184">
        <v>41055</v>
      </c>
      <c r="F863" s="189" t="s">
        <v>1305</v>
      </c>
      <c r="G863" s="617" t="s">
        <v>728</v>
      </c>
      <c r="H863" s="7" t="s">
        <v>436</v>
      </c>
      <c r="I863" s="252">
        <v>750</v>
      </c>
      <c r="J863" s="252">
        <v>10940</v>
      </c>
      <c r="K863" s="615">
        <v>8205000</v>
      </c>
      <c r="L863" s="194" t="s">
        <v>169</v>
      </c>
      <c r="M863" s="616" t="s">
        <v>8</v>
      </c>
      <c r="N863" s="52" t="str">
        <f>IF(AND('331-CT'!$E$7=TH!H863,OR(L863="331",M863="331")),"331",IF(AND(OR(L863="131",M863="131"),H863='131-CT'!$E$7),"131",""))</f>
        <v>331</v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B863" s="606"/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84">
        <v>41055</v>
      </c>
      <c r="D864" s="184" t="s">
        <v>483</v>
      </c>
      <c r="E864" s="184">
        <v>41055</v>
      </c>
      <c r="F864" s="189" t="s">
        <v>566</v>
      </c>
      <c r="G864" s="617" t="s">
        <v>728</v>
      </c>
      <c r="H864" s="7" t="s">
        <v>436</v>
      </c>
      <c r="I864" s="252"/>
      <c r="J864" s="252"/>
      <c r="K864" s="615">
        <v>1339420</v>
      </c>
      <c r="L864" s="616" t="s">
        <v>9</v>
      </c>
      <c r="M864" s="616" t="s">
        <v>8</v>
      </c>
      <c r="N864" s="52" t="str">
        <f>IF(AND('331-CT'!$E$7=TH!H864,OR(L864="331",M864="331")),"331",IF(AND(OR(L864="131",M864="131"),H864='131-CT'!$E$7),"131",""))</f>
        <v>331</v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198">
        <v>5</v>
      </c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84">
        <v>41055</v>
      </c>
      <c r="D865" s="184" t="s">
        <v>456</v>
      </c>
      <c r="E865" s="184">
        <v>41055</v>
      </c>
      <c r="F865" s="189" t="s">
        <v>400</v>
      </c>
      <c r="G865" s="617" t="s">
        <v>728</v>
      </c>
      <c r="H865" s="7" t="s">
        <v>436</v>
      </c>
      <c r="I865" s="252"/>
      <c r="J865" s="252"/>
      <c r="K865" s="615">
        <v>14733620</v>
      </c>
      <c r="L865" s="616" t="s">
        <v>8</v>
      </c>
      <c r="M865" s="616" t="s">
        <v>48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f t="shared" ref="C866:C872" si="59">E866</f>
        <v>41055</v>
      </c>
      <c r="D866" s="191" t="s">
        <v>1621</v>
      </c>
      <c r="E866" s="191">
        <v>41055</v>
      </c>
      <c r="F866" s="192" t="s">
        <v>1182</v>
      </c>
      <c r="G866" s="490" t="s">
        <v>1007</v>
      </c>
      <c r="H866" s="852" t="s">
        <v>762</v>
      </c>
      <c r="I866" s="252">
        <v>500</v>
      </c>
      <c r="J866" s="252">
        <v>20786</v>
      </c>
      <c r="K866" s="38">
        <f>ROUND(I866*J866,0)</f>
        <v>10393000</v>
      </c>
      <c r="L866" s="194" t="s">
        <v>284</v>
      </c>
      <c r="M866" s="194" t="s">
        <v>185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211"/>
      <c r="AB866" s="211"/>
      <c r="AC866" s="211"/>
      <c r="AD866" s="211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f t="shared" si="59"/>
        <v>41055</v>
      </c>
      <c r="D867" s="191" t="s">
        <v>1621</v>
      </c>
      <c r="E867" s="191">
        <v>41055</v>
      </c>
      <c r="F867" s="192" t="s">
        <v>1005</v>
      </c>
      <c r="G867" s="490" t="s">
        <v>1007</v>
      </c>
      <c r="H867" s="852" t="s">
        <v>762</v>
      </c>
      <c r="I867" s="252"/>
      <c r="J867" s="252"/>
      <c r="K867" s="38">
        <v>1039300</v>
      </c>
      <c r="L867" s="194" t="s">
        <v>284</v>
      </c>
      <c r="M867" s="194" t="s">
        <v>495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f t="shared" si="59"/>
        <v>41055</v>
      </c>
      <c r="D868" s="191" t="s">
        <v>1660</v>
      </c>
      <c r="E868" s="191">
        <v>41055</v>
      </c>
      <c r="F868" s="192" t="s">
        <v>365</v>
      </c>
      <c r="G868" s="490" t="s">
        <v>1007</v>
      </c>
      <c r="H868" s="852" t="s">
        <v>762</v>
      </c>
      <c r="I868" s="252"/>
      <c r="J868" s="252"/>
      <c r="K868" s="38">
        <v>11432300</v>
      </c>
      <c r="L868" s="194" t="s">
        <v>48</v>
      </c>
      <c r="M868" s="194" t="s">
        <v>284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>x</v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84">
        <f t="shared" si="59"/>
        <v>41056</v>
      </c>
      <c r="D869" s="184" t="s">
        <v>457</v>
      </c>
      <c r="E869" s="184">
        <v>41056</v>
      </c>
      <c r="F869" s="192" t="s">
        <v>400</v>
      </c>
      <c r="G869" s="617" t="s">
        <v>708</v>
      </c>
      <c r="H869" s="7" t="s">
        <v>436</v>
      </c>
      <c r="I869" s="252"/>
      <c r="J869" s="252"/>
      <c r="K869" s="615">
        <v>18500000</v>
      </c>
      <c r="L869" s="616" t="s">
        <v>8</v>
      </c>
      <c r="M869" s="616" t="s">
        <v>48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C869" s="849"/>
      <c r="AD869" s="849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f t="shared" si="59"/>
        <v>41056</v>
      </c>
      <c r="D870" s="191" t="s">
        <v>1622</v>
      </c>
      <c r="E870" s="191">
        <v>41056</v>
      </c>
      <c r="F870" s="192" t="s">
        <v>727</v>
      </c>
      <c r="G870" s="490" t="s">
        <v>1008</v>
      </c>
      <c r="H870" s="852" t="s">
        <v>762</v>
      </c>
      <c r="I870" s="252">
        <v>300</v>
      </c>
      <c r="J870" s="252">
        <v>32368</v>
      </c>
      <c r="K870" s="38">
        <f>ROUND(I870*J870,0)</f>
        <v>9710400</v>
      </c>
      <c r="L870" s="194" t="s">
        <v>284</v>
      </c>
      <c r="M870" s="194" t="s">
        <v>185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211"/>
      <c r="AB870" s="211"/>
      <c r="AC870" s="211"/>
      <c r="AD870" s="211"/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f t="shared" si="59"/>
        <v>41056</v>
      </c>
      <c r="D871" s="191" t="s">
        <v>1622</v>
      </c>
      <c r="E871" s="191">
        <v>41056</v>
      </c>
      <c r="F871" s="192" t="s">
        <v>1005</v>
      </c>
      <c r="G871" s="490" t="s">
        <v>1008</v>
      </c>
      <c r="H871" s="852" t="s">
        <v>762</v>
      </c>
      <c r="I871" s="252"/>
      <c r="J871" s="252"/>
      <c r="K871" s="38">
        <v>971040</v>
      </c>
      <c r="L871" s="194" t="s">
        <v>284</v>
      </c>
      <c r="M871" s="194" t="s">
        <v>495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si="59"/>
        <v>41056</v>
      </c>
      <c r="D872" s="191" t="s">
        <v>1662</v>
      </c>
      <c r="E872" s="191">
        <v>41056</v>
      </c>
      <c r="F872" s="192" t="s">
        <v>365</v>
      </c>
      <c r="G872" s="490" t="s">
        <v>1008</v>
      </c>
      <c r="H872" s="852" t="s">
        <v>762</v>
      </c>
      <c r="I872" s="252"/>
      <c r="J872" s="252"/>
      <c r="K872" s="38">
        <v>10681440</v>
      </c>
      <c r="L872" s="194" t="s">
        <v>48</v>
      </c>
      <c r="M872" s="194" t="s">
        <v>284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>x</v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v>41057</v>
      </c>
      <c r="D873" s="184" t="s">
        <v>483</v>
      </c>
      <c r="E873" s="191">
        <v>41057</v>
      </c>
      <c r="F873" s="192" t="s">
        <v>1438</v>
      </c>
      <c r="G873" s="490" t="s">
        <v>729</v>
      </c>
      <c r="H873" s="7" t="s">
        <v>436</v>
      </c>
      <c r="I873" s="254">
        <v>100</v>
      </c>
      <c r="J873" s="254">
        <v>17876</v>
      </c>
      <c r="K873" s="615">
        <v>1787600</v>
      </c>
      <c r="L873" s="194" t="s">
        <v>169</v>
      </c>
      <c r="M873" s="616" t="s">
        <v>8</v>
      </c>
      <c r="N873" s="52" t="str">
        <f>IF(AND('331-CT'!$E$7=TH!H873,OR(L873="331",M873="331")),"331",IF(AND(OR(L873="131",M873="131"),H873='131-CT'!$E$7),"131",""))</f>
        <v>331</v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B873" s="606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v>41057</v>
      </c>
      <c r="D874" s="184" t="s">
        <v>483</v>
      </c>
      <c r="E874" s="191">
        <v>41057</v>
      </c>
      <c r="F874" s="192" t="s">
        <v>1317</v>
      </c>
      <c r="G874" s="490" t="s">
        <v>729</v>
      </c>
      <c r="H874" s="7" t="s">
        <v>436</v>
      </c>
      <c r="I874" s="254">
        <v>300</v>
      </c>
      <c r="J874" s="254">
        <v>11817</v>
      </c>
      <c r="K874" s="38">
        <v>3545100</v>
      </c>
      <c r="L874" s="194" t="s">
        <v>169</v>
      </c>
      <c r="M874" s="616" t="s">
        <v>8</v>
      </c>
      <c r="N874" s="52" t="str">
        <f>IF(AND('331-CT'!$E$7=TH!H874,OR(L874="331",M874="331")),"331",IF(AND(OR(L874="131",M874="131"),H874='131-CT'!$E$7),"131",""))</f>
        <v>331</v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B874" s="606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84">
        <v>41057</v>
      </c>
      <c r="D875" s="184" t="s">
        <v>483</v>
      </c>
      <c r="E875" s="184">
        <v>41057</v>
      </c>
      <c r="F875" s="189" t="s">
        <v>566</v>
      </c>
      <c r="G875" s="617" t="s">
        <v>729</v>
      </c>
      <c r="H875" s="7" t="s">
        <v>436</v>
      </c>
      <c r="I875" s="252"/>
      <c r="J875" s="252"/>
      <c r="K875" s="615">
        <v>533270</v>
      </c>
      <c r="L875" s="616" t="s">
        <v>9</v>
      </c>
      <c r="M875" s="616" t="s">
        <v>8</v>
      </c>
      <c r="N875" s="52" t="str">
        <f>IF(AND('331-CT'!$E$7=TH!H875,OR(L875="331",M875="331")),"331",IF(AND(OR(L875="131",M875="131"),H875='131-CT'!$E$7),"131",""))</f>
        <v>331</v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198">
        <v>5</v>
      </c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84">
        <v>41057</v>
      </c>
      <c r="D876" s="184" t="s">
        <v>1659</v>
      </c>
      <c r="E876" s="184">
        <v>41057</v>
      </c>
      <c r="F876" s="189" t="s">
        <v>400</v>
      </c>
      <c r="G876" s="617" t="s">
        <v>729</v>
      </c>
      <c r="H876" s="7" t="s">
        <v>436</v>
      </c>
      <c r="I876" s="252"/>
      <c r="J876" s="252"/>
      <c r="K876" s="615">
        <v>5865970</v>
      </c>
      <c r="L876" s="616" t="s">
        <v>8</v>
      </c>
      <c r="M876" s="616" t="s">
        <v>48</v>
      </c>
      <c r="N876" s="52" t="str">
        <f>IF(AND('331-CT'!$E$7=TH!H876,OR(L876="331",M876="331")),"331",IF(AND(OR(L876="131",M876="131"),H876='131-CT'!$E$7),"131",""))</f>
        <v>331</v>
      </c>
      <c r="O876" s="52" t="str">
        <f>IF(AND($B876&gt;='111'!$N$11,$B876&lt;='111'!$O$11,OR($L876=$O$7,$M876=$O$7)),"x","")</f>
        <v>x</v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v>41059</v>
      </c>
      <c r="D877" s="184" t="s">
        <v>1661</v>
      </c>
      <c r="E877" s="191">
        <v>41059</v>
      </c>
      <c r="F877" s="192" t="s">
        <v>396</v>
      </c>
      <c r="G877" s="490" t="s">
        <v>361</v>
      </c>
      <c r="H877" s="45" t="s">
        <v>684</v>
      </c>
      <c r="I877" s="252"/>
      <c r="J877" s="252"/>
      <c r="K877" s="38">
        <v>77500000</v>
      </c>
      <c r="L877" s="194" t="s">
        <v>24</v>
      </c>
      <c r="M877" s="194" t="s">
        <v>48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>x</v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>x</v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v>41059</v>
      </c>
      <c r="D878" s="191" t="s">
        <v>364</v>
      </c>
      <c r="E878" s="191">
        <v>41059</v>
      </c>
      <c r="F878" s="192" t="s">
        <v>400</v>
      </c>
      <c r="G878" s="490" t="s">
        <v>361</v>
      </c>
      <c r="H878" s="7" t="s">
        <v>436</v>
      </c>
      <c r="I878" s="252"/>
      <c r="J878" s="252"/>
      <c r="K878" s="38">
        <v>9933000</v>
      </c>
      <c r="L878" s="616" t="s">
        <v>8</v>
      </c>
      <c r="M878" s="194" t="s">
        <v>24</v>
      </c>
      <c r="N878" s="52" t="str">
        <f>IF(AND('331-CT'!$E$7=TH!H878,OR(L878="331",M878="331")),"331",IF(AND(OR(L878="131",M878="131"),H878='131-CT'!$E$7),"131",""))</f>
        <v>331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>x</v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84">
        <v>41059</v>
      </c>
      <c r="D879" s="184" t="s">
        <v>364</v>
      </c>
      <c r="E879" s="184">
        <v>41059</v>
      </c>
      <c r="F879" s="189" t="s">
        <v>400</v>
      </c>
      <c r="G879" s="617" t="s">
        <v>361</v>
      </c>
      <c r="H879" s="7" t="s">
        <v>436</v>
      </c>
      <c r="I879" s="252"/>
      <c r="J879" s="252"/>
      <c r="K879" s="615">
        <v>15000000</v>
      </c>
      <c r="L879" s="616" t="s">
        <v>8</v>
      </c>
      <c r="M879" s="616" t="s">
        <v>24</v>
      </c>
      <c r="N879" s="52" t="str">
        <f>IF(AND('331-CT'!$E$7=TH!H879,OR(L879="331",M879="331")),"331",IF(AND(OR(L879="131",M879="131"),H879='131-CT'!$E$7),"131",""))</f>
        <v>331</v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>x</v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v>41059</v>
      </c>
      <c r="D880" s="191" t="s">
        <v>364</v>
      </c>
      <c r="E880" s="191">
        <v>41059</v>
      </c>
      <c r="F880" s="192" t="s">
        <v>366</v>
      </c>
      <c r="G880" s="490" t="s">
        <v>361</v>
      </c>
      <c r="H880" s="193"/>
      <c r="I880" s="252"/>
      <c r="J880" s="252"/>
      <c r="K880" s="615">
        <v>20000</v>
      </c>
      <c r="L880" s="194" t="s">
        <v>84</v>
      </c>
      <c r="M880" s="194" t="s">
        <v>24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>x</v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642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v>41059</v>
      </c>
      <c r="D881" s="191" t="s">
        <v>364</v>
      </c>
      <c r="E881" s="191">
        <v>41059</v>
      </c>
      <c r="F881" s="192" t="s">
        <v>400</v>
      </c>
      <c r="G881" s="490" t="s">
        <v>361</v>
      </c>
      <c r="H881" s="7" t="s">
        <v>436</v>
      </c>
      <c r="I881" s="252"/>
      <c r="J881" s="252"/>
      <c r="K881" s="615">
        <v>80000000</v>
      </c>
      <c r="L881" s="616" t="s">
        <v>8</v>
      </c>
      <c r="M881" s="194" t="s">
        <v>24</v>
      </c>
      <c r="N881" s="52" t="str">
        <f>IF(AND('331-CT'!$E$7=TH!H881,OR(L881="331",M881="331")),"331",IF(AND(OR(L881="131",M881="131"),H881='131-CT'!$E$7),"131",""))</f>
        <v>331</v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>x</v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v>41059</v>
      </c>
      <c r="D882" s="191" t="s">
        <v>364</v>
      </c>
      <c r="E882" s="191">
        <v>41059</v>
      </c>
      <c r="F882" s="192" t="s">
        <v>366</v>
      </c>
      <c r="G882" s="490" t="s">
        <v>361</v>
      </c>
      <c r="H882" s="193"/>
      <c r="I882" s="252"/>
      <c r="J882" s="252"/>
      <c r="K882" s="38">
        <v>40000</v>
      </c>
      <c r="L882" s="194" t="s">
        <v>84</v>
      </c>
      <c r="M882" s="194" t="s">
        <v>24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>x</v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642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v>41059</v>
      </c>
      <c r="D883" s="191" t="s">
        <v>364</v>
      </c>
      <c r="E883" s="191">
        <v>41059</v>
      </c>
      <c r="F883" s="192" t="s">
        <v>730</v>
      </c>
      <c r="G883" s="192" t="s">
        <v>361</v>
      </c>
      <c r="H883" s="193"/>
      <c r="I883" s="252"/>
      <c r="J883" s="252"/>
      <c r="K883" s="38">
        <v>22830</v>
      </c>
      <c r="L883" s="194" t="s">
        <v>84</v>
      </c>
      <c r="M883" s="194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>x</v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642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v>41059</v>
      </c>
      <c r="D884" s="184" t="s">
        <v>484</v>
      </c>
      <c r="E884" s="191">
        <v>41059</v>
      </c>
      <c r="F884" s="192" t="s">
        <v>731</v>
      </c>
      <c r="G884" s="192" t="s">
        <v>732</v>
      </c>
      <c r="H884" s="193" t="s">
        <v>674</v>
      </c>
      <c r="I884" s="252">
        <v>300</v>
      </c>
      <c r="J884" s="252">
        <v>10302</v>
      </c>
      <c r="K884" s="38">
        <v>3090600</v>
      </c>
      <c r="L884" s="194" t="s">
        <v>169</v>
      </c>
      <c r="M884" s="616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B884" s="606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v>41059</v>
      </c>
      <c r="D885" s="184" t="s">
        <v>484</v>
      </c>
      <c r="E885" s="191">
        <v>41059</v>
      </c>
      <c r="F885" s="192" t="s">
        <v>733</v>
      </c>
      <c r="G885" s="192" t="s">
        <v>732</v>
      </c>
      <c r="H885" s="193" t="s">
        <v>674</v>
      </c>
      <c r="I885" s="252">
        <v>300</v>
      </c>
      <c r="J885" s="252">
        <v>8640</v>
      </c>
      <c r="K885" s="38">
        <v>2592000</v>
      </c>
      <c r="L885" s="194" t="s">
        <v>169</v>
      </c>
      <c r="M885" s="616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B885" s="606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v>41059</v>
      </c>
      <c r="D886" s="184" t="s">
        <v>484</v>
      </c>
      <c r="E886" s="191">
        <v>41059</v>
      </c>
      <c r="F886" s="192" t="s">
        <v>734</v>
      </c>
      <c r="G886" s="192" t="s">
        <v>732</v>
      </c>
      <c r="H886" s="193" t="s">
        <v>674</v>
      </c>
      <c r="I886" s="252">
        <v>450</v>
      </c>
      <c r="J886" s="252">
        <v>10626</v>
      </c>
      <c r="K886" s="38">
        <v>4781700</v>
      </c>
      <c r="L886" s="194" t="s">
        <v>169</v>
      </c>
      <c r="M886" s="616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B886" s="606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v>41059</v>
      </c>
      <c r="D887" s="184" t="s">
        <v>484</v>
      </c>
      <c r="E887" s="191">
        <v>41059</v>
      </c>
      <c r="F887" s="192" t="s">
        <v>735</v>
      </c>
      <c r="G887" s="192" t="s">
        <v>732</v>
      </c>
      <c r="H887" s="193" t="s">
        <v>674</v>
      </c>
      <c r="I887" s="252">
        <v>150</v>
      </c>
      <c r="J887" s="252">
        <v>14094</v>
      </c>
      <c r="K887" s="38">
        <v>2114100</v>
      </c>
      <c r="L887" s="194" t="s">
        <v>169</v>
      </c>
      <c r="M887" s="616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B887" s="606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v>41059</v>
      </c>
      <c r="D888" s="184" t="s">
        <v>484</v>
      </c>
      <c r="E888" s="191">
        <v>41059</v>
      </c>
      <c r="F888" s="192" t="s">
        <v>736</v>
      </c>
      <c r="G888" s="192" t="s">
        <v>732</v>
      </c>
      <c r="H888" s="193" t="s">
        <v>674</v>
      </c>
      <c r="I888" s="252">
        <v>570</v>
      </c>
      <c r="J888" s="252">
        <v>9420</v>
      </c>
      <c r="K888" s="38">
        <v>5369400</v>
      </c>
      <c r="L888" s="194" t="s">
        <v>169</v>
      </c>
      <c r="M888" s="616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B888" s="606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v>41059</v>
      </c>
      <c r="D889" s="184" t="s">
        <v>484</v>
      </c>
      <c r="E889" s="191">
        <v>41059</v>
      </c>
      <c r="F889" s="192" t="s">
        <v>677</v>
      </c>
      <c r="G889" s="192" t="s">
        <v>732</v>
      </c>
      <c r="H889" s="193" t="s">
        <v>674</v>
      </c>
      <c r="I889" s="252"/>
      <c r="J889" s="252"/>
      <c r="K889" s="38">
        <v>1794780</v>
      </c>
      <c r="L889" s="194" t="s">
        <v>9</v>
      </c>
      <c r="M889" s="616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198">
        <v>5</v>
      </c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v>41059</v>
      </c>
      <c r="D890" s="184" t="s">
        <v>1663</v>
      </c>
      <c r="E890" s="191">
        <v>41059</v>
      </c>
      <c r="F890" s="192" t="s">
        <v>400</v>
      </c>
      <c r="G890" s="192" t="s">
        <v>732</v>
      </c>
      <c r="H890" s="193" t="s">
        <v>674</v>
      </c>
      <c r="I890" s="252"/>
      <c r="J890" s="252"/>
      <c r="K890" s="38">
        <v>19742580</v>
      </c>
      <c r="L890" s="616" t="s">
        <v>8</v>
      </c>
      <c r="M890" s="616" t="s">
        <v>48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58"/>
        <v>5</v>
      </c>
      <c r="C891" s="191">
        <v>41059</v>
      </c>
      <c r="D891" s="184" t="s">
        <v>485</v>
      </c>
      <c r="E891" s="191">
        <v>41059</v>
      </c>
      <c r="F891" s="192" t="s">
        <v>737</v>
      </c>
      <c r="G891" s="192" t="s">
        <v>738</v>
      </c>
      <c r="H891" s="7" t="s">
        <v>436</v>
      </c>
      <c r="I891" s="256">
        <v>2150</v>
      </c>
      <c r="J891" s="256">
        <v>17357</v>
      </c>
      <c r="K891" s="38">
        <v>37317550</v>
      </c>
      <c r="L891" s="194" t="s">
        <v>177</v>
      </c>
      <c r="M891" s="616" t="s">
        <v>8</v>
      </c>
      <c r="N891" s="52" t="str">
        <f>IF(AND('331-CT'!$E$7=TH!H891,OR(L891="331",M891="331")),"331",IF(AND(OR(L891="131",M891="131"),H891='131-CT'!$E$7),"131",""))</f>
        <v>331</v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B891" s="606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58"/>
        <v>5</v>
      </c>
      <c r="C892" s="191">
        <v>41059</v>
      </c>
      <c r="D892" s="184" t="s">
        <v>485</v>
      </c>
      <c r="E892" s="191">
        <v>41059</v>
      </c>
      <c r="F892" s="192" t="s">
        <v>739</v>
      </c>
      <c r="G892" s="192" t="s">
        <v>738</v>
      </c>
      <c r="H892" s="7" t="s">
        <v>436</v>
      </c>
      <c r="I892" s="256">
        <v>270</v>
      </c>
      <c r="J892" s="256">
        <v>18321</v>
      </c>
      <c r="K892" s="38">
        <v>4946670</v>
      </c>
      <c r="L892" s="194" t="s">
        <v>177</v>
      </c>
      <c r="M892" s="616" t="s">
        <v>8</v>
      </c>
      <c r="N892" s="52" t="str">
        <f>IF(AND('331-CT'!$E$7=TH!H892,OR(L892="331",M892="331")),"331",IF(AND(OR(L892="131",M892="131"),H892='131-CT'!$E$7),"131",""))</f>
        <v>331</v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B892" s="606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58"/>
        <v>5</v>
      </c>
      <c r="C893" s="191">
        <v>41059</v>
      </c>
      <c r="D893" s="184" t="s">
        <v>485</v>
      </c>
      <c r="E893" s="191">
        <v>41059</v>
      </c>
      <c r="F893" s="192" t="s">
        <v>566</v>
      </c>
      <c r="G893" s="192" t="s">
        <v>738</v>
      </c>
      <c r="H893" s="7" t="s">
        <v>436</v>
      </c>
      <c r="I893" s="252"/>
      <c r="J893" s="252"/>
      <c r="K893" s="38">
        <v>4226422</v>
      </c>
      <c r="L893" s="194" t="s">
        <v>9</v>
      </c>
      <c r="M893" s="616" t="s">
        <v>8</v>
      </c>
      <c r="N893" s="52" t="str">
        <f>IF(AND('331-CT'!$E$7=TH!H893,OR(L893="331",M893="331")),"331",IF(AND(OR(L893="131",M893="131"),H893='131-CT'!$E$7),"131",""))</f>
        <v>331</v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198">
        <v>5</v>
      </c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58"/>
        <v>5</v>
      </c>
      <c r="C894" s="191">
        <v>41059</v>
      </c>
      <c r="D894" s="184" t="s">
        <v>486</v>
      </c>
      <c r="E894" s="191">
        <v>41059</v>
      </c>
      <c r="F894" s="192" t="s">
        <v>1439</v>
      </c>
      <c r="G894" s="192" t="s">
        <v>740</v>
      </c>
      <c r="H894" s="7" t="s">
        <v>436</v>
      </c>
      <c r="I894" s="254">
        <v>292</v>
      </c>
      <c r="J894" s="254">
        <v>20261</v>
      </c>
      <c r="K894" s="38">
        <v>5916212</v>
      </c>
      <c r="L894" s="194" t="s">
        <v>169</v>
      </c>
      <c r="M894" s="616" t="s">
        <v>8</v>
      </c>
      <c r="N894" s="52" t="str">
        <f>IF(AND('331-CT'!$E$7=TH!H894,OR(L894="331",M894="331")),"331",IF(AND(OR(L894="131",M894="131"),H894='131-CT'!$E$7),"131",""))</f>
        <v>331</v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B894" s="606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58"/>
        <v>5</v>
      </c>
      <c r="C895" s="191">
        <v>41059</v>
      </c>
      <c r="D895" s="184" t="s">
        <v>486</v>
      </c>
      <c r="E895" s="191">
        <v>41059</v>
      </c>
      <c r="F895" s="192" t="s">
        <v>1288</v>
      </c>
      <c r="G895" s="192" t="s">
        <v>740</v>
      </c>
      <c r="H895" s="7" t="s">
        <v>436</v>
      </c>
      <c r="I895" s="252">
        <v>250</v>
      </c>
      <c r="J895" s="252">
        <v>11706</v>
      </c>
      <c r="K895" s="38">
        <v>2926500</v>
      </c>
      <c r="L895" s="194" t="s">
        <v>169</v>
      </c>
      <c r="M895" s="616" t="s">
        <v>8</v>
      </c>
      <c r="N895" s="52" t="str">
        <f>IF(AND('331-CT'!$E$7=TH!H895,OR(L895="331",M895="331")),"331",IF(AND(OR(L895="131",M895="131"),H895='131-CT'!$E$7),"131",""))</f>
        <v>331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B895" s="606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58"/>
        <v>5</v>
      </c>
      <c r="C896" s="191">
        <v>41059</v>
      </c>
      <c r="D896" s="184" t="s">
        <v>486</v>
      </c>
      <c r="E896" s="191">
        <v>41059</v>
      </c>
      <c r="F896" s="192" t="s">
        <v>741</v>
      </c>
      <c r="G896" s="192" t="s">
        <v>740</v>
      </c>
      <c r="H896" s="7" t="s">
        <v>436</v>
      </c>
      <c r="I896" s="252">
        <v>360</v>
      </c>
      <c r="J896" s="252">
        <v>28775</v>
      </c>
      <c r="K896" s="38">
        <v>10359000</v>
      </c>
      <c r="L896" s="194" t="s">
        <v>177</v>
      </c>
      <c r="M896" s="616" t="s">
        <v>8</v>
      </c>
      <c r="N896" s="52" t="str">
        <f>IF(AND('331-CT'!$E$7=TH!H896,OR(L896="331",M896="331")),"331",IF(AND(OR(L896="131",M896="131"),H896='131-CT'!$E$7),"131",""))</f>
        <v>331</v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B896" s="606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58"/>
        <v>5</v>
      </c>
      <c r="C897" s="191">
        <v>41059</v>
      </c>
      <c r="D897" s="184" t="s">
        <v>486</v>
      </c>
      <c r="E897" s="191">
        <v>41059</v>
      </c>
      <c r="F897" s="192" t="s">
        <v>566</v>
      </c>
      <c r="G897" s="192" t="s">
        <v>740</v>
      </c>
      <c r="H897" s="7" t="s">
        <v>436</v>
      </c>
      <c r="I897" s="252"/>
      <c r="J897" s="252"/>
      <c r="K897" s="38">
        <v>1920171</v>
      </c>
      <c r="L897" s="194" t="s">
        <v>9</v>
      </c>
      <c r="M897" s="616" t="s">
        <v>8</v>
      </c>
      <c r="N897" s="52" t="str">
        <f>IF(AND('331-CT'!$E$7=TH!H897,OR(L897="331",M897="331")),"331",IF(AND(OR(L897="131",M897="131"),H897='131-CT'!$E$7),"131",""))</f>
        <v>331</v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198">
        <v>5</v>
      </c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58"/>
        <v>5</v>
      </c>
      <c r="C898" s="191">
        <f t="shared" ref="C898:C943" si="60">E898</f>
        <v>41059</v>
      </c>
      <c r="D898" s="191" t="s">
        <v>1623</v>
      </c>
      <c r="E898" s="191">
        <v>41059</v>
      </c>
      <c r="F898" s="192" t="s">
        <v>1170</v>
      </c>
      <c r="G898" s="490" t="s">
        <v>1009</v>
      </c>
      <c r="H898" s="210" t="s">
        <v>792</v>
      </c>
      <c r="I898" s="252">
        <v>1000</v>
      </c>
      <c r="J898" s="252">
        <v>6400</v>
      </c>
      <c r="K898" s="38">
        <f>ROUND(I898*J898,0)</f>
        <v>6400000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58"/>
        <v>5</v>
      </c>
      <c r="C899" s="191">
        <f t="shared" si="60"/>
        <v>41059</v>
      </c>
      <c r="D899" s="191" t="s">
        <v>1623</v>
      </c>
      <c r="E899" s="191">
        <v>41059</v>
      </c>
      <c r="F899" s="192" t="s">
        <v>1181</v>
      </c>
      <c r="G899" s="490" t="s">
        <v>1009</v>
      </c>
      <c r="H899" s="210" t="s">
        <v>792</v>
      </c>
      <c r="I899" s="252">
        <v>990</v>
      </c>
      <c r="J899" s="252">
        <v>6950</v>
      </c>
      <c r="K899" s="38">
        <f>ROUND(I899*J899,0)</f>
        <v>6880500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58"/>
        <v>5</v>
      </c>
      <c r="C900" s="191">
        <f t="shared" si="60"/>
        <v>41059</v>
      </c>
      <c r="D900" s="191" t="s">
        <v>1623</v>
      </c>
      <c r="E900" s="191">
        <v>41059</v>
      </c>
      <c r="F900" s="192" t="s">
        <v>555</v>
      </c>
      <c r="G900" s="490" t="s">
        <v>1009</v>
      </c>
      <c r="H900" s="210" t="s">
        <v>792</v>
      </c>
      <c r="I900" s="252"/>
      <c r="J900" s="252"/>
      <c r="K900" s="38">
        <v>1328050</v>
      </c>
      <c r="L900" s="194" t="s">
        <v>284</v>
      </c>
      <c r="M900" s="194" t="s">
        <v>495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58"/>
        <v>5</v>
      </c>
      <c r="C901" s="191">
        <f t="shared" si="60"/>
        <v>41059</v>
      </c>
      <c r="D901" s="191" t="s">
        <v>1624</v>
      </c>
      <c r="E901" s="191">
        <v>41059</v>
      </c>
      <c r="F901" s="192" t="s">
        <v>1499</v>
      </c>
      <c r="G901" s="490" t="s">
        <v>1010</v>
      </c>
      <c r="H901" s="7" t="s">
        <v>496</v>
      </c>
      <c r="I901" s="252">
        <v>1</v>
      </c>
      <c r="J901" s="252">
        <v>5805</v>
      </c>
      <c r="K901" s="38">
        <f t="shared" ref="K901:K932" si="61">ROUND(I901*J901,0)</f>
        <v>5805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58"/>
        <v>5</v>
      </c>
      <c r="C902" s="191">
        <f t="shared" si="60"/>
        <v>41059</v>
      </c>
      <c r="D902" s="191" t="s">
        <v>1624</v>
      </c>
      <c r="E902" s="191">
        <v>41059</v>
      </c>
      <c r="F902" s="192" t="s">
        <v>1533</v>
      </c>
      <c r="G902" s="490" t="s">
        <v>1010</v>
      </c>
      <c r="H902" s="7" t="s">
        <v>496</v>
      </c>
      <c r="I902" s="252">
        <v>1</v>
      </c>
      <c r="J902" s="252">
        <v>6991</v>
      </c>
      <c r="K902" s="38">
        <f t="shared" si="61"/>
        <v>6991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58"/>
        <v>5</v>
      </c>
      <c r="C903" s="191">
        <f t="shared" si="60"/>
        <v>41059</v>
      </c>
      <c r="D903" s="191" t="s">
        <v>1624</v>
      </c>
      <c r="E903" s="191">
        <v>41059</v>
      </c>
      <c r="F903" s="192" t="s">
        <v>1497</v>
      </c>
      <c r="G903" s="490" t="s">
        <v>1010</v>
      </c>
      <c r="H903" s="7" t="s">
        <v>496</v>
      </c>
      <c r="I903" s="252">
        <v>1</v>
      </c>
      <c r="J903" s="252">
        <v>7845</v>
      </c>
      <c r="K903" s="38">
        <f t="shared" si="61"/>
        <v>7845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customHeight="1">
      <c r="A904" s="204" t="str">
        <f>IF(B904&lt;&gt;"",IF(AND(B904&gt;=_TM1,B904&lt;=_TM2,OR(TH!L904="1111",TH!M904="1111")),TH!D904,""),"")</f>
        <v/>
      </c>
      <c r="B904" s="36">
        <f t="shared" si="58"/>
        <v>5</v>
      </c>
      <c r="C904" s="191">
        <f t="shared" si="60"/>
        <v>41059</v>
      </c>
      <c r="D904" s="191" t="s">
        <v>1624</v>
      </c>
      <c r="E904" s="191">
        <v>41059</v>
      </c>
      <c r="F904" s="192" t="s">
        <v>1501</v>
      </c>
      <c r="G904" s="490" t="s">
        <v>1010</v>
      </c>
      <c r="H904" s="7" t="s">
        <v>496</v>
      </c>
      <c r="I904" s="252">
        <v>1</v>
      </c>
      <c r="J904" s="252">
        <v>8389</v>
      </c>
      <c r="K904" s="38">
        <f t="shared" si="61"/>
        <v>8389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58"/>
        <v>5</v>
      </c>
      <c r="C905" s="191">
        <f t="shared" si="60"/>
        <v>41059</v>
      </c>
      <c r="D905" s="191" t="s">
        <v>1624</v>
      </c>
      <c r="E905" s="191">
        <v>41059</v>
      </c>
      <c r="F905" s="192" t="s">
        <v>1534</v>
      </c>
      <c r="G905" s="490" t="s">
        <v>1010</v>
      </c>
      <c r="H905" s="7" t="s">
        <v>496</v>
      </c>
      <c r="I905" s="252">
        <v>1</v>
      </c>
      <c r="J905" s="252">
        <v>9293</v>
      </c>
      <c r="K905" s="38">
        <f t="shared" si="61"/>
        <v>9293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58"/>
        <v>5</v>
      </c>
      <c r="C906" s="191">
        <f t="shared" si="60"/>
        <v>41059</v>
      </c>
      <c r="D906" s="191" t="s">
        <v>1624</v>
      </c>
      <c r="E906" s="191">
        <v>41059</v>
      </c>
      <c r="F906" s="192" t="s">
        <v>1536</v>
      </c>
      <c r="G906" s="490" t="s">
        <v>1010</v>
      </c>
      <c r="H906" s="7" t="s">
        <v>496</v>
      </c>
      <c r="I906" s="252">
        <v>1</v>
      </c>
      <c r="J906" s="252">
        <v>9873</v>
      </c>
      <c r="K906" s="38">
        <f t="shared" si="61"/>
        <v>9873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58"/>
        <v>5</v>
      </c>
      <c r="C907" s="191">
        <f t="shared" si="60"/>
        <v>41059</v>
      </c>
      <c r="D907" s="191" t="s">
        <v>1624</v>
      </c>
      <c r="E907" s="191">
        <v>41059</v>
      </c>
      <c r="F907" s="192" t="s">
        <v>1539</v>
      </c>
      <c r="G907" s="490" t="s">
        <v>1010</v>
      </c>
      <c r="H907" s="7" t="s">
        <v>496</v>
      </c>
      <c r="I907" s="252">
        <v>1</v>
      </c>
      <c r="J907" s="252">
        <v>8510</v>
      </c>
      <c r="K907" s="38">
        <f t="shared" si="61"/>
        <v>8510</v>
      </c>
      <c r="L907" s="194" t="s">
        <v>284</v>
      </c>
      <c r="M907" s="194" t="s">
        <v>185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211"/>
      <c r="AB907" s="211"/>
      <c r="AC907" s="211"/>
      <c r="AD907" s="211"/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58"/>
        <v>5</v>
      </c>
      <c r="C908" s="191">
        <f t="shared" si="60"/>
        <v>41059</v>
      </c>
      <c r="D908" s="191" t="s">
        <v>1624</v>
      </c>
      <c r="E908" s="191">
        <v>41059</v>
      </c>
      <c r="F908" s="192" t="s">
        <v>1527</v>
      </c>
      <c r="G908" s="490" t="s">
        <v>1010</v>
      </c>
      <c r="H908" s="7" t="s">
        <v>496</v>
      </c>
      <c r="I908" s="252">
        <v>1</v>
      </c>
      <c r="J908" s="252">
        <v>10097</v>
      </c>
      <c r="K908" s="38">
        <f t="shared" si="61"/>
        <v>10097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58"/>
        <v>5</v>
      </c>
      <c r="C909" s="191">
        <f t="shared" si="60"/>
        <v>41059</v>
      </c>
      <c r="D909" s="191" t="s">
        <v>1624</v>
      </c>
      <c r="E909" s="191">
        <v>41059</v>
      </c>
      <c r="F909" s="192" t="s">
        <v>1527</v>
      </c>
      <c r="G909" s="490" t="s">
        <v>1010</v>
      </c>
      <c r="H909" s="7" t="s">
        <v>496</v>
      </c>
      <c r="I909" s="252">
        <v>3</v>
      </c>
      <c r="J909" s="252">
        <v>11131</v>
      </c>
      <c r="K909" s="38">
        <f t="shared" si="61"/>
        <v>33393</v>
      </c>
      <c r="L909" s="194" t="s">
        <v>284</v>
      </c>
      <c r="M909" s="194" t="s">
        <v>185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211"/>
      <c r="AB909" s="211"/>
      <c r="AC909" s="211"/>
      <c r="AD909" s="211"/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58"/>
        <v>5</v>
      </c>
      <c r="C910" s="191">
        <f t="shared" si="60"/>
        <v>41059</v>
      </c>
      <c r="D910" s="191" t="s">
        <v>1624</v>
      </c>
      <c r="E910" s="191">
        <v>41059</v>
      </c>
      <c r="F910" s="192" t="s">
        <v>1503</v>
      </c>
      <c r="G910" s="490" t="s">
        <v>1010</v>
      </c>
      <c r="H910" s="7" t="s">
        <v>496</v>
      </c>
      <c r="I910" s="252">
        <v>1</v>
      </c>
      <c r="J910" s="252">
        <v>8623</v>
      </c>
      <c r="K910" s="38">
        <f t="shared" si="61"/>
        <v>8623</v>
      </c>
      <c r="L910" s="194" t="s">
        <v>284</v>
      </c>
      <c r="M910" s="194" t="s">
        <v>185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211"/>
      <c r="AB910" s="211"/>
      <c r="AC910" s="211"/>
      <c r="AD910" s="211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58"/>
        <v>5</v>
      </c>
      <c r="C911" s="191">
        <f t="shared" si="60"/>
        <v>41059</v>
      </c>
      <c r="D911" s="191" t="s">
        <v>1624</v>
      </c>
      <c r="E911" s="191">
        <v>41059</v>
      </c>
      <c r="F911" s="192" t="s">
        <v>1512</v>
      </c>
      <c r="G911" s="490" t="s">
        <v>1010</v>
      </c>
      <c r="H911" s="7" t="s">
        <v>496</v>
      </c>
      <c r="I911" s="252">
        <v>26</v>
      </c>
      <c r="J911" s="252">
        <v>9344</v>
      </c>
      <c r="K911" s="38">
        <f t="shared" si="61"/>
        <v>242944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customHeight="1">
      <c r="A912" s="204" t="str">
        <f>IF(B912&lt;&gt;"",IF(AND(B912&gt;=_TM1,B912&lt;=_TM2,OR(TH!L912="1111",TH!M912="1111")),TH!D912,""),"")</f>
        <v/>
      </c>
      <c r="B912" s="36">
        <f t="shared" si="58"/>
        <v>5</v>
      </c>
      <c r="C912" s="191">
        <f t="shared" si="60"/>
        <v>41059</v>
      </c>
      <c r="D912" s="191" t="s">
        <v>1625</v>
      </c>
      <c r="E912" s="191">
        <v>41059</v>
      </c>
      <c r="F912" s="192" t="s">
        <v>1515</v>
      </c>
      <c r="G912" s="490" t="s">
        <v>1010</v>
      </c>
      <c r="H912" s="7" t="s">
        <v>496</v>
      </c>
      <c r="I912" s="252">
        <v>2</v>
      </c>
      <c r="J912" s="252">
        <v>11990</v>
      </c>
      <c r="K912" s="38">
        <f t="shared" si="61"/>
        <v>23980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customHeight="1">
      <c r="A913" s="204" t="str">
        <f>IF(B913&lt;&gt;"",IF(AND(B913&gt;=_TM1,B913&lt;=_TM2,OR(TH!L913="1111",TH!M913="1111")),TH!D913,""),"")</f>
        <v/>
      </c>
      <c r="B913" s="36">
        <f t="shared" si="58"/>
        <v>5</v>
      </c>
      <c r="C913" s="191">
        <f t="shared" si="60"/>
        <v>41059</v>
      </c>
      <c r="D913" s="191" t="s">
        <v>1625</v>
      </c>
      <c r="E913" s="191">
        <v>41059</v>
      </c>
      <c r="F913" s="192" t="s">
        <v>1540</v>
      </c>
      <c r="G913" s="490" t="s">
        <v>1010</v>
      </c>
      <c r="H913" s="7" t="s">
        <v>496</v>
      </c>
      <c r="I913" s="252">
        <v>1</v>
      </c>
      <c r="J913" s="252">
        <v>12439</v>
      </c>
      <c r="K913" s="38">
        <f t="shared" si="61"/>
        <v>12439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customHeight="1">
      <c r="A914" s="204" t="str">
        <f>IF(B914&lt;&gt;"",IF(AND(B914&gt;=_TM1,B914&lt;=_TM2,OR(TH!L914="1111",TH!M914="1111")),TH!D914,""),"")</f>
        <v/>
      </c>
      <c r="B914" s="36">
        <f t="shared" si="58"/>
        <v>5</v>
      </c>
      <c r="C914" s="191">
        <f t="shared" si="60"/>
        <v>41059</v>
      </c>
      <c r="D914" s="191" t="s">
        <v>1625</v>
      </c>
      <c r="E914" s="191">
        <v>41059</v>
      </c>
      <c r="F914" s="192" t="s">
        <v>1502</v>
      </c>
      <c r="G914" s="490" t="s">
        <v>1010</v>
      </c>
      <c r="H914" s="7" t="s">
        <v>496</v>
      </c>
      <c r="I914" s="252">
        <v>1</v>
      </c>
      <c r="J914" s="252">
        <v>8975</v>
      </c>
      <c r="K914" s="38">
        <f t="shared" si="61"/>
        <v>8975</v>
      </c>
      <c r="L914" s="194" t="s">
        <v>284</v>
      </c>
      <c r="M914" s="194" t="s">
        <v>185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211"/>
      <c r="AB914" s="211"/>
      <c r="AC914" s="211"/>
      <c r="AD914" s="211"/>
    </row>
    <row r="915" spans="1:30" ht="15.75" customHeight="1">
      <c r="A915" s="204" t="str">
        <f>IF(B915&lt;&gt;"",IF(AND(B915&gt;=_TM1,B915&lt;=_TM2,OR(TH!L915="1111",TH!M915="1111")),TH!D915,""),"")</f>
        <v/>
      </c>
      <c r="B915" s="36">
        <f t="shared" si="58"/>
        <v>5</v>
      </c>
      <c r="C915" s="191">
        <f t="shared" si="60"/>
        <v>41059</v>
      </c>
      <c r="D915" s="191" t="s">
        <v>1625</v>
      </c>
      <c r="E915" s="191">
        <v>41059</v>
      </c>
      <c r="F915" s="192" t="s">
        <v>1537</v>
      </c>
      <c r="G915" s="490" t="s">
        <v>1010</v>
      </c>
      <c r="H915" s="7" t="s">
        <v>496</v>
      </c>
      <c r="I915" s="252">
        <v>1</v>
      </c>
      <c r="J915" s="252">
        <v>9697</v>
      </c>
      <c r="K915" s="38">
        <f t="shared" si="61"/>
        <v>9697</v>
      </c>
      <c r="L915" s="194" t="s">
        <v>284</v>
      </c>
      <c r="M915" s="194" t="s">
        <v>185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211"/>
      <c r="AC915" s="211"/>
      <c r="AD915" s="21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58"/>
        <v>5</v>
      </c>
      <c r="C916" s="191">
        <f t="shared" si="60"/>
        <v>41059</v>
      </c>
      <c r="D916" s="191" t="s">
        <v>1625</v>
      </c>
      <c r="E916" s="191">
        <v>41059</v>
      </c>
      <c r="F916" s="192" t="s">
        <v>1514</v>
      </c>
      <c r="G916" s="490" t="s">
        <v>1010</v>
      </c>
      <c r="H916" s="7" t="s">
        <v>496</v>
      </c>
      <c r="I916" s="252">
        <v>4</v>
      </c>
      <c r="J916" s="252">
        <v>13563</v>
      </c>
      <c r="K916" s="38">
        <f t="shared" si="61"/>
        <v>54252</v>
      </c>
      <c r="L916" s="194" t="s">
        <v>284</v>
      </c>
      <c r="M916" s="194" t="s">
        <v>185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211"/>
      <c r="AC916" s="211"/>
      <c r="AD916" s="211"/>
    </row>
    <row r="917" spans="1:30" ht="15.75" customHeight="1">
      <c r="A917" s="204" t="str">
        <f>IF(B917&lt;&gt;"",IF(AND(B917&gt;=_TM1,B917&lt;=_TM2,OR(TH!L917="1111",TH!M917="1111")),TH!D917,""),"")</f>
        <v/>
      </c>
      <c r="B917" s="36">
        <f t="shared" ref="B917:B980" si="62">IF(C917&lt;&gt;"",MONTH(C917),"")</f>
        <v>5</v>
      </c>
      <c r="C917" s="191">
        <f t="shared" si="60"/>
        <v>41059</v>
      </c>
      <c r="D917" s="191" t="s">
        <v>1625</v>
      </c>
      <c r="E917" s="191">
        <v>41059</v>
      </c>
      <c r="F917" s="192" t="s">
        <v>1541</v>
      </c>
      <c r="G917" s="490" t="s">
        <v>1010</v>
      </c>
      <c r="H917" s="7" t="s">
        <v>496</v>
      </c>
      <c r="I917" s="252">
        <v>4</v>
      </c>
      <c r="J917" s="252">
        <v>12370</v>
      </c>
      <c r="K917" s="38">
        <f t="shared" si="61"/>
        <v>49480</v>
      </c>
      <c r="L917" s="194" t="s">
        <v>284</v>
      </c>
      <c r="M917" s="194" t="s">
        <v>185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211"/>
      <c r="AC917" s="211"/>
      <c r="AD917" s="211"/>
    </row>
    <row r="918" spans="1:30" ht="15.75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f t="shared" si="60"/>
        <v>41059</v>
      </c>
      <c r="D918" s="191" t="s">
        <v>1625</v>
      </c>
      <c r="E918" s="191">
        <v>41059</v>
      </c>
      <c r="F918" s="192" t="s">
        <v>1504</v>
      </c>
      <c r="G918" s="490" t="s">
        <v>1010</v>
      </c>
      <c r="H918" s="7" t="s">
        <v>496</v>
      </c>
      <c r="I918" s="252">
        <v>24</v>
      </c>
      <c r="J918" s="252">
        <v>10538</v>
      </c>
      <c r="K918" s="38">
        <f t="shared" si="61"/>
        <v>252912</v>
      </c>
      <c r="L918" s="194" t="s">
        <v>284</v>
      </c>
      <c r="M918" s="194" t="s">
        <v>185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211"/>
      <c r="AB918" s="211"/>
      <c r="AC918" s="211"/>
      <c r="AD918" s="211"/>
    </row>
    <row r="919" spans="1:30" ht="15.75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f t="shared" si="60"/>
        <v>41059</v>
      </c>
      <c r="D919" s="191" t="s">
        <v>1625</v>
      </c>
      <c r="E919" s="191">
        <v>41059</v>
      </c>
      <c r="F919" s="192" t="s">
        <v>1505</v>
      </c>
      <c r="G919" s="490" t="s">
        <v>1010</v>
      </c>
      <c r="H919" s="7" t="s">
        <v>496</v>
      </c>
      <c r="I919" s="252">
        <v>81</v>
      </c>
      <c r="J919" s="252">
        <v>11561</v>
      </c>
      <c r="K919" s="38">
        <f t="shared" si="61"/>
        <v>936441</v>
      </c>
      <c r="L919" s="194" t="s">
        <v>284</v>
      </c>
      <c r="M919" s="194" t="s">
        <v>185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211"/>
      <c r="AB919" s="211"/>
      <c r="AC919" s="211"/>
      <c r="AD919" s="211"/>
    </row>
    <row r="920" spans="1:30" ht="15.75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f t="shared" si="60"/>
        <v>41059</v>
      </c>
      <c r="D920" s="191" t="s">
        <v>1625</v>
      </c>
      <c r="E920" s="191">
        <v>41059</v>
      </c>
      <c r="F920" s="192" t="s">
        <v>1500</v>
      </c>
      <c r="G920" s="490" t="s">
        <v>1010</v>
      </c>
      <c r="H920" s="7" t="s">
        <v>496</v>
      </c>
      <c r="I920" s="252">
        <v>1</v>
      </c>
      <c r="J920" s="252">
        <v>10115</v>
      </c>
      <c r="K920" s="38">
        <f t="shared" si="61"/>
        <v>10115</v>
      </c>
      <c r="L920" s="194" t="s">
        <v>284</v>
      </c>
      <c r="M920" s="194" t="s">
        <v>185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211"/>
      <c r="AB920" s="211"/>
      <c r="AC920" s="211"/>
      <c r="AD920" s="211"/>
    </row>
    <row r="921" spans="1:30" ht="15.75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f t="shared" si="60"/>
        <v>41059</v>
      </c>
      <c r="D921" s="191" t="s">
        <v>1625</v>
      </c>
      <c r="E921" s="191">
        <v>41059</v>
      </c>
      <c r="F921" s="192" t="s">
        <v>1508</v>
      </c>
      <c r="G921" s="490" t="s">
        <v>1010</v>
      </c>
      <c r="H921" s="7" t="s">
        <v>496</v>
      </c>
      <c r="I921" s="252">
        <v>5</v>
      </c>
      <c r="J921" s="252">
        <v>12354</v>
      </c>
      <c r="K921" s="38">
        <f t="shared" si="61"/>
        <v>61770</v>
      </c>
      <c r="L921" s="194" t="s">
        <v>284</v>
      </c>
      <c r="M921" s="194" t="s">
        <v>185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211"/>
      <c r="AB921" s="211"/>
      <c r="AC921" s="211"/>
      <c r="AD921" s="211"/>
    </row>
    <row r="922" spans="1:30" ht="15.75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f t="shared" si="60"/>
        <v>41059</v>
      </c>
      <c r="D922" s="191" t="s">
        <v>1625</v>
      </c>
      <c r="E922" s="191">
        <v>41059</v>
      </c>
      <c r="F922" s="192" t="s">
        <v>1506</v>
      </c>
      <c r="G922" s="490" t="s">
        <v>1010</v>
      </c>
      <c r="H922" s="7" t="s">
        <v>496</v>
      </c>
      <c r="I922" s="252">
        <v>57</v>
      </c>
      <c r="J922" s="252">
        <v>13908</v>
      </c>
      <c r="K922" s="38">
        <f t="shared" si="61"/>
        <v>792756</v>
      </c>
      <c r="L922" s="194" t="s">
        <v>284</v>
      </c>
      <c r="M922" s="194" t="s">
        <v>185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211"/>
      <c r="AB922" s="211"/>
      <c r="AC922" s="211"/>
      <c r="AD922" s="211"/>
    </row>
    <row r="923" spans="1:30" ht="15.75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f t="shared" si="60"/>
        <v>41059</v>
      </c>
      <c r="D923" s="191" t="s">
        <v>1626</v>
      </c>
      <c r="E923" s="191">
        <v>41059</v>
      </c>
      <c r="F923" s="192" t="s">
        <v>1535</v>
      </c>
      <c r="G923" s="490" t="s">
        <v>1010</v>
      </c>
      <c r="H923" s="7" t="s">
        <v>496</v>
      </c>
      <c r="I923" s="252">
        <v>1</v>
      </c>
      <c r="J923" s="252">
        <v>15949</v>
      </c>
      <c r="K923" s="38">
        <f t="shared" si="61"/>
        <v>15949</v>
      </c>
      <c r="L923" s="194" t="s">
        <v>284</v>
      </c>
      <c r="M923" s="194" t="s">
        <v>185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211"/>
      <c r="AB923" s="211"/>
      <c r="AC923" s="211"/>
      <c r="AD923" s="211"/>
    </row>
    <row r="924" spans="1:30" ht="15.75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f t="shared" si="60"/>
        <v>41059</v>
      </c>
      <c r="D924" s="191" t="s">
        <v>1626</v>
      </c>
      <c r="E924" s="191">
        <v>41059</v>
      </c>
      <c r="F924" s="192" t="s">
        <v>1496</v>
      </c>
      <c r="G924" s="490" t="s">
        <v>1010</v>
      </c>
      <c r="H924" s="7" t="s">
        <v>496</v>
      </c>
      <c r="I924" s="252">
        <v>152</v>
      </c>
      <c r="J924" s="252">
        <v>15362</v>
      </c>
      <c r="K924" s="38">
        <f t="shared" si="61"/>
        <v>2335024</v>
      </c>
      <c r="L924" s="194" t="s">
        <v>284</v>
      </c>
      <c r="M924" s="194" t="s">
        <v>185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211"/>
      <c r="AB924" s="211"/>
      <c r="AC924" s="211"/>
      <c r="AD924" s="211"/>
    </row>
    <row r="925" spans="1:30" ht="15.75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f t="shared" si="60"/>
        <v>41059</v>
      </c>
      <c r="D925" s="191" t="s">
        <v>1626</v>
      </c>
      <c r="E925" s="191">
        <v>41059</v>
      </c>
      <c r="F925" s="192" t="s">
        <v>1510</v>
      </c>
      <c r="G925" s="490" t="s">
        <v>1010</v>
      </c>
      <c r="H925" s="7" t="s">
        <v>496</v>
      </c>
      <c r="I925" s="252">
        <v>33</v>
      </c>
      <c r="J925" s="252">
        <v>15968</v>
      </c>
      <c r="K925" s="38">
        <f t="shared" si="61"/>
        <v>526944</v>
      </c>
      <c r="L925" s="194" t="s">
        <v>284</v>
      </c>
      <c r="M925" s="194" t="s">
        <v>185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211"/>
      <c r="AB925" s="211"/>
      <c r="AC925" s="211"/>
      <c r="AD925" s="211"/>
    </row>
    <row r="926" spans="1:30" ht="15.75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f t="shared" si="60"/>
        <v>41059</v>
      </c>
      <c r="D926" s="191" t="s">
        <v>1626</v>
      </c>
      <c r="E926" s="191">
        <v>41059</v>
      </c>
      <c r="F926" s="192" t="s">
        <v>1526</v>
      </c>
      <c r="G926" s="490" t="s">
        <v>1010</v>
      </c>
      <c r="H926" s="7" t="s">
        <v>496</v>
      </c>
      <c r="I926" s="252">
        <v>22</v>
      </c>
      <c r="J926" s="252">
        <v>16720</v>
      </c>
      <c r="K926" s="38">
        <f t="shared" si="61"/>
        <v>367840</v>
      </c>
      <c r="L926" s="194" t="s">
        <v>284</v>
      </c>
      <c r="M926" s="194" t="s">
        <v>185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211"/>
      <c r="AB926" s="211"/>
      <c r="AC926" s="211"/>
      <c r="AD926" s="211"/>
    </row>
    <row r="927" spans="1:30" ht="15.75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f t="shared" si="60"/>
        <v>41059</v>
      </c>
      <c r="D927" s="191" t="s">
        <v>1626</v>
      </c>
      <c r="E927" s="191">
        <v>41059</v>
      </c>
      <c r="F927" s="192" t="s">
        <v>1538</v>
      </c>
      <c r="G927" s="490" t="s">
        <v>1010</v>
      </c>
      <c r="H927" s="7" t="s">
        <v>496</v>
      </c>
      <c r="I927" s="252">
        <v>86</v>
      </c>
      <c r="J927" s="252">
        <v>19434</v>
      </c>
      <c r="K927" s="38">
        <f t="shared" si="61"/>
        <v>1671324</v>
      </c>
      <c r="L927" s="194" t="s">
        <v>284</v>
      </c>
      <c r="M927" s="194" t="s">
        <v>185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211"/>
      <c r="AB927" s="211"/>
      <c r="AC927" s="211"/>
      <c r="AD927" s="211"/>
    </row>
    <row r="928" spans="1:30" ht="15.75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f t="shared" si="60"/>
        <v>41059</v>
      </c>
      <c r="D928" s="191" t="s">
        <v>1626</v>
      </c>
      <c r="E928" s="191">
        <v>41059</v>
      </c>
      <c r="F928" s="192" t="s">
        <v>1513</v>
      </c>
      <c r="G928" s="490" t="s">
        <v>1010</v>
      </c>
      <c r="H928" s="7" t="s">
        <v>496</v>
      </c>
      <c r="I928" s="252">
        <v>91</v>
      </c>
      <c r="J928" s="252">
        <v>16451</v>
      </c>
      <c r="K928" s="38">
        <f t="shared" si="61"/>
        <v>1497041</v>
      </c>
      <c r="L928" s="194" t="s">
        <v>284</v>
      </c>
      <c r="M928" s="194" t="s">
        <v>185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211"/>
      <c r="AB928" s="211"/>
      <c r="AC928" s="211"/>
      <c r="AD928" s="211"/>
    </row>
    <row r="929" spans="1:30" ht="15.75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si="60"/>
        <v>41059</v>
      </c>
      <c r="D929" s="191" t="s">
        <v>1626</v>
      </c>
      <c r="E929" s="191">
        <v>41059</v>
      </c>
      <c r="F929" s="192" t="s">
        <v>1532</v>
      </c>
      <c r="G929" s="490" t="s">
        <v>1010</v>
      </c>
      <c r="H929" s="7" t="s">
        <v>496</v>
      </c>
      <c r="I929" s="252">
        <f>172+67</f>
        <v>239</v>
      </c>
      <c r="J929" s="252">
        <v>25702</v>
      </c>
      <c r="K929" s="38">
        <f t="shared" si="61"/>
        <v>6142778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0"/>
        <v>41059</v>
      </c>
      <c r="D930" s="191" t="s">
        <v>1626</v>
      </c>
      <c r="E930" s="191">
        <v>41059</v>
      </c>
      <c r="F930" s="192" t="s">
        <v>1516</v>
      </c>
      <c r="G930" s="490" t="s">
        <v>1010</v>
      </c>
      <c r="H930" s="7" t="s">
        <v>496</v>
      </c>
      <c r="I930" s="252">
        <v>36</v>
      </c>
      <c r="J930" s="252">
        <v>19372</v>
      </c>
      <c r="K930" s="38">
        <f t="shared" si="61"/>
        <v>697392</v>
      </c>
      <c r="L930" s="194" t="s">
        <v>284</v>
      </c>
      <c r="M930" s="194" t="s">
        <v>185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211"/>
      <c r="AB930" s="211"/>
      <c r="AC930" s="211"/>
      <c r="AD930" s="211"/>
    </row>
    <row r="931" spans="1:30" ht="15.75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0"/>
        <v>41059</v>
      </c>
      <c r="D931" s="191" t="s">
        <v>1626</v>
      </c>
      <c r="E931" s="191">
        <v>41059</v>
      </c>
      <c r="F931" s="192" t="s">
        <v>1523</v>
      </c>
      <c r="G931" s="490" t="s">
        <v>1010</v>
      </c>
      <c r="H931" s="7" t="s">
        <v>496</v>
      </c>
      <c r="I931" s="252">
        <v>2</v>
      </c>
      <c r="J931" s="252">
        <v>15158</v>
      </c>
      <c r="K931" s="38">
        <f t="shared" si="61"/>
        <v>30316</v>
      </c>
      <c r="L931" s="194" t="s">
        <v>284</v>
      </c>
      <c r="M931" s="194" t="s">
        <v>185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211"/>
      <c r="AB931" s="211"/>
      <c r="AC931" s="211"/>
      <c r="AD931" s="211"/>
    </row>
    <row r="932" spans="1:30" ht="15.75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0"/>
        <v>41059</v>
      </c>
      <c r="D932" s="191" t="s">
        <v>1626</v>
      </c>
      <c r="E932" s="191">
        <v>41059</v>
      </c>
      <c r="F932" s="192" t="s">
        <v>1524</v>
      </c>
      <c r="G932" s="490" t="s">
        <v>1010</v>
      </c>
      <c r="H932" s="7" t="s">
        <v>496</v>
      </c>
      <c r="I932" s="252">
        <v>46</v>
      </c>
      <c r="J932" s="252">
        <v>21517</v>
      </c>
      <c r="K932" s="38">
        <f t="shared" si="61"/>
        <v>989782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0"/>
        <v>41059</v>
      </c>
      <c r="D933" s="191" t="s">
        <v>1626</v>
      </c>
      <c r="E933" s="191">
        <v>41059</v>
      </c>
      <c r="F933" s="192" t="s">
        <v>555</v>
      </c>
      <c r="G933" s="490" t="s">
        <v>1010</v>
      </c>
      <c r="H933" s="7" t="s">
        <v>496</v>
      </c>
      <c r="I933" s="252"/>
      <c r="J933" s="252"/>
      <c r="K933" s="38">
        <v>1683897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0"/>
        <v>41059</v>
      </c>
      <c r="D934" s="191" t="s">
        <v>1627</v>
      </c>
      <c r="E934" s="191">
        <v>41059</v>
      </c>
      <c r="F934" s="192" t="s">
        <v>1180</v>
      </c>
      <c r="G934" s="490" t="s">
        <v>1011</v>
      </c>
      <c r="H934" s="193" t="s">
        <v>1012</v>
      </c>
      <c r="I934" s="252">
        <v>219</v>
      </c>
      <c r="J934" s="252">
        <v>11800</v>
      </c>
      <c r="K934" s="38">
        <f>ROUND(I934*J934,0)</f>
        <v>2584200</v>
      </c>
      <c r="L934" s="194" t="s">
        <v>284</v>
      </c>
      <c r="M934" s="194" t="s">
        <v>185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211"/>
      <c r="AB934" s="211"/>
      <c r="AC934" s="211"/>
      <c r="AD934" s="211"/>
    </row>
    <row r="935" spans="1:30" ht="15.75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0"/>
        <v>41059</v>
      </c>
      <c r="D935" s="191" t="s">
        <v>1627</v>
      </c>
      <c r="E935" s="191">
        <v>41059</v>
      </c>
      <c r="F935" s="192" t="s">
        <v>555</v>
      </c>
      <c r="G935" s="490" t="s">
        <v>1011</v>
      </c>
      <c r="H935" s="193" t="s">
        <v>1012</v>
      </c>
      <c r="I935" s="252"/>
      <c r="J935" s="252"/>
      <c r="K935" s="38">
        <v>258420</v>
      </c>
      <c r="L935" s="194" t="s">
        <v>284</v>
      </c>
      <c r="M935" s="194" t="s">
        <v>495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</row>
    <row r="936" spans="1:30" ht="15.75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0"/>
        <v>41059</v>
      </c>
      <c r="D936" s="191" t="s">
        <v>1666</v>
      </c>
      <c r="E936" s="191">
        <v>41059</v>
      </c>
      <c r="F936" s="192" t="s">
        <v>365</v>
      </c>
      <c r="G936" s="490" t="s">
        <v>1011</v>
      </c>
      <c r="H936" s="193" t="s">
        <v>1012</v>
      </c>
      <c r="I936" s="252"/>
      <c r="J936" s="252"/>
      <c r="K936" s="38">
        <v>2842620</v>
      </c>
      <c r="L936" s="194" t="s">
        <v>48</v>
      </c>
      <c r="M936" s="194" t="s">
        <v>284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>x</v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customHeight="1">
      <c r="A937" s="204" t="str">
        <f>IF(B937&lt;&gt;"",IF(AND(B937&gt;=_TM1,B937&lt;=_TM2,OR(TH!L937="1111",TH!M937="1111")),TH!D937,""),"")</f>
        <v/>
      </c>
      <c r="B937" s="36">
        <f t="shared" si="62"/>
        <v>5</v>
      </c>
      <c r="C937" s="191">
        <f t="shared" si="60"/>
        <v>41059</v>
      </c>
      <c r="D937" s="191" t="s">
        <v>1628</v>
      </c>
      <c r="E937" s="191">
        <v>41059</v>
      </c>
      <c r="F937" s="192" t="s">
        <v>737</v>
      </c>
      <c r="G937" s="490" t="s">
        <v>1571</v>
      </c>
      <c r="H937" s="852" t="s">
        <v>762</v>
      </c>
      <c r="I937" s="252">
        <v>2150</v>
      </c>
      <c r="J937" s="252">
        <v>18063</v>
      </c>
      <c r="K937" s="38">
        <f>ROUND(I937*J937,0)</f>
        <v>38835450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customHeight="1">
      <c r="A938" s="204" t="str">
        <f>IF(B938&lt;&gt;"",IF(AND(B938&gt;=_TM1,B938&lt;=_TM2,OR(TH!L938="1111",TH!M938="1111")),TH!D938,""),"")</f>
        <v/>
      </c>
      <c r="B938" s="36">
        <f t="shared" si="62"/>
        <v>5</v>
      </c>
      <c r="C938" s="191">
        <f t="shared" si="60"/>
        <v>41059</v>
      </c>
      <c r="D938" s="191" t="s">
        <v>1628</v>
      </c>
      <c r="E938" s="191">
        <v>41059</v>
      </c>
      <c r="F938" s="192" t="s">
        <v>739</v>
      </c>
      <c r="G938" s="490" t="s">
        <v>1571</v>
      </c>
      <c r="H938" s="852" t="s">
        <v>762</v>
      </c>
      <c r="I938" s="252">
        <v>270</v>
      </c>
      <c r="J938" s="252">
        <v>19066</v>
      </c>
      <c r="K938" s="38">
        <f>ROUND(I938*J938,0)</f>
        <v>5147820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customHeight="1">
      <c r="A939" s="204" t="str">
        <f>IF(B939&lt;&gt;"",IF(AND(B939&gt;=_TM1,B939&lt;=_TM2,OR(TH!L939="1111",TH!M939="1111")),TH!D939,""),"")</f>
        <v/>
      </c>
      <c r="B939" s="36">
        <f t="shared" si="62"/>
        <v>5</v>
      </c>
      <c r="C939" s="191">
        <f t="shared" si="60"/>
        <v>41059</v>
      </c>
      <c r="D939" s="191" t="s">
        <v>1628</v>
      </c>
      <c r="E939" s="191">
        <v>41059</v>
      </c>
      <c r="F939" s="192" t="s">
        <v>741</v>
      </c>
      <c r="G939" s="490" t="s">
        <v>1571</v>
      </c>
      <c r="H939" s="852" t="s">
        <v>762</v>
      </c>
      <c r="I939" s="252">
        <v>360</v>
      </c>
      <c r="J939" s="252">
        <v>29946</v>
      </c>
      <c r="K939" s="38">
        <f>ROUND(I939*J939,0)</f>
        <v>10780560</v>
      </c>
      <c r="L939" s="194" t="s">
        <v>284</v>
      </c>
      <c r="M939" s="194" t="s">
        <v>185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211"/>
      <c r="AB939" s="211"/>
      <c r="AC939" s="211"/>
      <c r="AD939" s="211"/>
    </row>
    <row r="940" spans="1:30" ht="15.75" customHeight="1">
      <c r="A940" s="204" t="str">
        <f>IF(B940&lt;&gt;"",IF(AND(B940&gt;=_TM1,B940&lt;=_TM2,OR(TH!L940="1111",TH!M940="1111")),TH!D940,""),"")</f>
        <v/>
      </c>
      <c r="B940" s="36">
        <f t="shared" si="62"/>
        <v>5</v>
      </c>
      <c r="C940" s="191">
        <f t="shared" si="60"/>
        <v>41059</v>
      </c>
      <c r="D940" s="191" t="s">
        <v>1628</v>
      </c>
      <c r="E940" s="191">
        <v>41059</v>
      </c>
      <c r="F940" s="192" t="s">
        <v>550</v>
      </c>
      <c r="G940" s="490" t="s">
        <v>1571</v>
      </c>
      <c r="H940" s="852" t="s">
        <v>762</v>
      </c>
      <c r="I940" s="252"/>
      <c r="J940" s="252"/>
      <c r="K940" s="38">
        <v>5476383</v>
      </c>
      <c r="L940" s="194" t="s">
        <v>284</v>
      </c>
      <c r="M940" s="194" t="s">
        <v>495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customHeight="1">
      <c r="A941" s="204" t="str">
        <f>IF(B941&lt;&gt;"",IF(AND(B941&gt;=_TM1,B941&lt;=_TM2,OR(TH!L941="1111",TH!M941="1111")),TH!D941,""),"")</f>
        <v/>
      </c>
      <c r="B941" s="36">
        <f t="shared" si="62"/>
        <v>5</v>
      </c>
      <c r="C941" s="740">
        <f t="shared" si="60"/>
        <v>41060</v>
      </c>
      <c r="D941" s="740" t="s">
        <v>367</v>
      </c>
      <c r="E941" s="853">
        <v>41060</v>
      </c>
      <c r="F941" s="741" t="s">
        <v>1584</v>
      </c>
      <c r="G941" s="742"/>
      <c r="H941" s="629"/>
      <c r="I941" s="487"/>
      <c r="J941" s="487"/>
      <c r="K941" s="743">
        <v>9325000</v>
      </c>
      <c r="L941" s="744" t="s">
        <v>84</v>
      </c>
      <c r="M941" s="744" t="s">
        <v>287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A941" s="211"/>
      <c r="AB941" s="606"/>
      <c r="AC941" s="606"/>
      <c r="AD941" s="606"/>
    </row>
    <row r="942" spans="1:30" ht="15.75" customHeight="1">
      <c r="A942" s="204" t="str">
        <f>IF(B942&lt;&gt;"",IF(AND(B942&gt;=_TM1,B942&lt;=_TM2,OR(TH!L942="1111",TH!M942="1111")),TH!D942,""),"")</f>
        <v/>
      </c>
      <c r="B942" s="36">
        <f t="shared" si="62"/>
        <v>5</v>
      </c>
      <c r="C942" s="740">
        <f t="shared" si="60"/>
        <v>41060</v>
      </c>
      <c r="D942" s="740" t="s">
        <v>367</v>
      </c>
      <c r="E942" s="853">
        <v>41060</v>
      </c>
      <c r="F942" s="741" t="s">
        <v>511</v>
      </c>
      <c r="G942" s="742"/>
      <c r="H942" s="629"/>
      <c r="I942" s="487"/>
      <c r="J942" s="487"/>
      <c r="K942" s="743">
        <v>13450000</v>
      </c>
      <c r="L942" s="744" t="s">
        <v>175</v>
      </c>
      <c r="M942" s="744" t="s">
        <v>287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>154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211"/>
      <c r="AB942" s="606"/>
      <c r="AC942" s="606"/>
      <c r="AD942" s="606"/>
    </row>
    <row r="943" spans="1:30" ht="15.75" customHeight="1">
      <c r="A943" s="204" t="str">
        <f>IF(B943&lt;&gt;"",IF(AND(B943&gt;=_TM1,B943&lt;=_TM2,OR(TH!L943="1111",TH!M943="1111")),TH!D943,""),"")</f>
        <v/>
      </c>
      <c r="B943" s="36">
        <f t="shared" si="62"/>
        <v>5</v>
      </c>
      <c r="C943" s="740">
        <f t="shared" si="60"/>
        <v>41060</v>
      </c>
      <c r="D943" s="740" t="s">
        <v>1664</v>
      </c>
      <c r="E943" s="853">
        <v>41060</v>
      </c>
      <c r="F943" s="741" t="str">
        <f>"Thanh toán tiền lương tháng "&amp;MONTH(E943)&amp;"/"&amp;YEAR(E943)</f>
        <v>Thanh toán tiền lương tháng 5/2012</v>
      </c>
      <c r="G943" s="742"/>
      <c r="H943" s="45" t="s">
        <v>684</v>
      </c>
      <c r="I943" s="487"/>
      <c r="J943" s="487"/>
      <c r="K943" s="743">
        <f>K941+K942</f>
        <v>22775000</v>
      </c>
      <c r="L943" s="744" t="s">
        <v>287</v>
      </c>
      <c r="M943" s="744" t="s">
        <v>48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>x</v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  <c r="AA943" s="211"/>
      <c r="AB943" s="606"/>
      <c r="AC943" s="606"/>
      <c r="AD943" s="606"/>
    </row>
    <row r="944" spans="1:30" ht="15.75" customHeight="1">
      <c r="A944" s="204" t="str">
        <f>IF(B944&lt;&gt;"",IF(AND(B944&gt;=_TM1,B944&lt;=_TM2,OR(TH!L944="1111",TH!M944="1111")),TH!D944,""),"")</f>
        <v/>
      </c>
      <c r="B944" s="36">
        <f t="shared" si="62"/>
        <v>5</v>
      </c>
      <c r="C944" s="191">
        <v>41060</v>
      </c>
      <c r="D944" s="191" t="s">
        <v>460</v>
      </c>
      <c r="E944" s="191">
        <v>41060</v>
      </c>
      <c r="F944" s="192" t="s">
        <v>742</v>
      </c>
      <c r="G944" s="192" t="s">
        <v>743</v>
      </c>
      <c r="H944" s="210" t="s">
        <v>744</v>
      </c>
      <c r="I944" s="252">
        <v>104121</v>
      </c>
      <c r="J944" s="252">
        <v>250</v>
      </c>
      <c r="K944" s="38">
        <v>26030250</v>
      </c>
      <c r="L944" s="194" t="s">
        <v>171</v>
      </c>
      <c r="M944" s="616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</row>
    <row r="945" spans="1:30" ht="15.75" customHeight="1">
      <c r="A945" s="204" t="str">
        <f>IF(B945&lt;&gt;"",IF(AND(B945&gt;=_TM1,B945&lt;=_TM2,OR(TH!L945="1111",TH!M945="1111")),TH!D945,""),"")</f>
        <v/>
      </c>
      <c r="B945" s="36">
        <f t="shared" si="62"/>
        <v>5</v>
      </c>
      <c r="C945" s="191">
        <v>41060</v>
      </c>
      <c r="D945" s="191" t="s">
        <v>460</v>
      </c>
      <c r="E945" s="191">
        <v>41060</v>
      </c>
      <c r="F945" s="192" t="s">
        <v>745</v>
      </c>
      <c r="G945" s="192" t="s">
        <v>743</v>
      </c>
      <c r="H945" s="210" t="s">
        <v>744</v>
      </c>
      <c r="I945" s="252"/>
      <c r="J945" s="252"/>
      <c r="K945" s="38">
        <v>2603025</v>
      </c>
      <c r="L945" s="194" t="s">
        <v>9</v>
      </c>
      <c r="M945" s="616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198">
        <v>5</v>
      </c>
    </row>
    <row r="946" spans="1:30" ht="15.75" customHeight="1">
      <c r="A946" s="204" t="str">
        <f>IF(B946&lt;&gt;"",IF(AND(B946&gt;=_TM1,B946&lt;=_TM2,OR(TH!L946="1111",TH!M946="1111")),TH!D946,""),"")</f>
        <v/>
      </c>
      <c r="B946" s="36">
        <f t="shared" si="62"/>
        <v>5</v>
      </c>
      <c r="C946" s="191">
        <v>41060</v>
      </c>
      <c r="D946" s="184" t="s">
        <v>487</v>
      </c>
      <c r="E946" s="191">
        <v>41060</v>
      </c>
      <c r="F946" s="192" t="s">
        <v>736</v>
      </c>
      <c r="G946" s="192" t="s">
        <v>746</v>
      </c>
      <c r="H946" s="193" t="s">
        <v>674</v>
      </c>
      <c r="I946" s="252">
        <v>80</v>
      </c>
      <c r="J946" s="252">
        <v>9420</v>
      </c>
      <c r="K946" s="38">
        <v>753600</v>
      </c>
      <c r="L946" s="194" t="s">
        <v>169</v>
      </c>
      <c r="M946" s="616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6"/>
    </row>
    <row r="947" spans="1:30" ht="15.75" customHeight="1">
      <c r="A947" s="204" t="str">
        <f>IF(B947&lt;&gt;"",IF(AND(B947&gt;=_TM1,B947&lt;=_TM2,OR(TH!L947="1111",TH!M947="1111")),TH!D947,""),"")</f>
        <v/>
      </c>
      <c r="B947" s="36">
        <f t="shared" si="62"/>
        <v>5</v>
      </c>
      <c r="C947" s="191">
        <v>41060</v>
      </c>
      <c r="D947" s="184" t="s">
        <v>487</v>
      </c>
      <c r="E947" s="191">
        <v>41060</v>
      </c>
      <c r="F947" s="192" t="s">
        <v>747</v>
      </c>
      <c r="G947" s="192" t="s">
        <v>746</v>
      </c>
      <c r="H947" s="210" t="s">
        <v>674</v>
      </c>
      <c r="I947" s="254">
        <v>180</v>
      </c>
      <c r="J947" s="254">
        <v>15120</v>
      </c>
      <c r="K947" s="38">
        <v>2721600</v>
      </c>
      <c r="L947" s="194" t="s">
        <v>169</v>
      </c>
      <c r="M947" s="616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6"/>
    </row>
    <row r="948" spans="1:30" ht="15.75" customHeight="1">
      <c r="A948" s="204" t="str">
        <f>IF(B948&lt;&gt;"",IF(AND(B948&gt;=_TM1,B948&lt;=_TM2,OR(TH!L948="1111",TH!M948="1111")),TH!D948,""),"")</f>
        <v/>
      </c>
      <c r="B948" s="36">
        <f t="shared" si="62"/>
        <v>5</v>
      </c>
      <c r="C948" s="191">
        <v>41060</v>
      </c>
      <c r="D948" s="184" t="s">
        <v>487</v>
      </c>
      <c r="E948" s="191">
        <v>41060</v>
      </c>
      <c r="F948" s="192" t="s">
        <v>748</v>
      </c>
      <c r="G948" s="192" t="s">
        <v>746</v>
      </c>
      <c r="H948" s="193" t="s">
        <v>674</v>
      </c>
      <c r="I948" s="252">
        <v>100</v>
      </c>
      <c r="J948" s="252">
        <v>11730</v>
      </c>
      <c r="K948" s="38">
        <v>1173000</v>
      </c>
      <c r="L948" s="194" t="s">
        <v>169</v>
      </c>
      <c r="M948" s="616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B948" s="606"/>
    </row>
    <row r="949" spans="1:30" ht="15.75" customHeight="1">
      <c r="A949" s="204" t="str">
        <f>IF(B949&lt;&gt;"",IF(AND(B949&gt;=_TM1,B949&lt;=_TM2,OR(TH!L949="1111",TH!M949="1111")),TH!D949,""),"")</f>
        <v/>
      </c>
      <c r="B949" s="36">
        <f t="shared" si="62"/>
        <v>5</v>
      </c>
      <c r="C949" s="191">
        <v>41060</v>
      </c>
      <c r="D949" s="184" t="s">
        <v>487</v>
      </c>
      <c r="E949" s="191">
        <v>41060</v>
      </c>
      <c r="F949" s="192" t="s">
        <v>749</v>
      </c>
      <c r="G949" s="192" t="s">
        <v>746</v>
      </c>
      <c r="H949" s="193" t="s">
        <v>674</v>
      </c>
      <c r="I949" s="252">
        <v>500</v>
      </c>
      <c r="J949" s="252">
        <v>13487.1</v>
      </c>
      <c r="K949" s="38">
        <v>6743550</v>
      </c>
      <c r="L949" s="194" t="s">
        <v>169</v>
      </c>
      <c r="M949" s="616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  <c r="AB949" s="606"/>
    </row>
    <row r="950" spans="1:30" ht="15.75" customHeight="1">
      <c r="A950" s="204" t="str">
        <f>IF(B950&lt;&gt;"",IF(AND(B950&gt;=_TM1,B950&lt;=_TM2,OR(TH!L950="1111",TH!M950="1111")),TH!D950,""),"")</f>
        <v/>
      </c>
      <c r="B950" s="36">
        <f t="shared" si="62"/>
        <v>5</v>
      </c>
      <c r="C950" s="191">
        <v>41060</v>
      </c>
      <c r="D950" s="184" t="s">
        <v>487</v>
      </c>
      <c r="E950" s="191">
        <v>41060</v>
      </c>
      <c r="F950" s="192" t="s">
        <v>750</v>
      </c>
      <c r="G950" s="192" t="s">
        <v>746</v>
      </c>
      <c r="H950" s="193" t="s">
        <v>674</v>
      </c>
      <c r="I950" s="252">
        <v>500</v>
      </c>
      <c r="J950" s="252">
        <v>6220.8</v>
      </c>
      <c r="K950" s="38">
        <v>3110400</v>
      </c>
      <c r="L950" s="194" t="s">
        <v>169</v>
      </c>
      <c r="M950" s="616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6"/>
    </row>
    <row r="951" spans="1:30" ht="15.75" customHeight="1">
      <c r="A951" s="204" t="str">
        <f>IF(B951&lt;&gt;"",IF(AND(B951&gt;=_TM1,B951&lt;=_TM2,OR(TH!L951="1111",TH!M951="1111")),TH!D951,""),"")</f>
        <v/>
      </c>
      <c r="B951" s="36">
        <f t="shared" si="62"/>
        <v>5</v>
      </c>
      <c r="C951" s="191">
        <v>41060</v>
      </c>
      <c r="D951" s="184" t="s">
        <v>487</v>
      </c>
      <c r="E951" s="191">
        <v>41060</v>
      </c>
      <c r="F951" s="192" t="s">
        <v>751</v>
      </c>
      <c r="G951" s="192" t="s">
        <v>746</v>
      </c>
      <c r="H951" s="193" t="s">
        <v>674</v>
      </c>
      <c r="I951" s="252">
        <v>200</v>
      </c>
      <c r="J951" s="252">
        <v>11059.2</v>
      </c>
      <c r="K951" s="38">
        <v>2211840</v>
      </c>
      <c r="L951" s="194" t="s">
        <v>169</v>
      </c>
      <c r="M951" s="616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6"/>
    </row>
    <row r="952" spans="1:30" ht="15.75" customHeight="1">
      <c r="A952" s="204" t="str">
        <f>IF(B952&lt;&gt;"",IF(AND(B952&gt;=_TM1,B952&lt;=_TM2,OR(TH!L952="1111",TH!M952="1111")),TH!D952,""),"")</f>
        <v/>
      </c>
      <c r="B952" s="36">
        <f t="shared" si="62"/>
        <v>5</v>
      </c>
      <c r="C952" s="191">
        <v>41060</v>
      </c>
      <c r="D952" s="184" t="s">
        <v>487</v>
      </c>
      <c r="E952" s="191">
        <v>41060</v>
      </c>
      <c r="F952" s="192" t="s">
        <v>752</v>
      </c>
      <c r="G952" s="192" t="s">
        <v>746</v>
      </c>
      <c r="H952" s="193" t="s">
        <v>674</v>
      </c>
      <c r="I952" s="252">
        <v>150</v>
      </c>
      <c r="J952" s="252">
        <v>9523.2000000000007</v>
      </c>
      <c r="K952" s="38">
        <v>1428480</v>
      </c>
      <c r="L952" s="194" t="s">
        <v>169</v>
      </c>
      <c r="M952" s="616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6"/>
    </row>
    <row r="953" spans="1:30" ht="15.75" customHeight="1">
      <c r="A953" s="204" t="str">
        <f>IF(B953&lt;&gt;"",IF(AND(B953&gt;=_TM1,B953&lt;=_TM2,OR(TH!L953="1111",TH!M953="1111")),TH!D953,""),"")</f>
        <v/>
      </c>
      <c r="B953" s="36">
        <f t="shared" si="62"/>
        <v>5</v>
      </c>
      <c r="C953" s="191">
        <v>41060</v>
      </c>
      <c r="D953" s="184" t="s">
        <v>487</v>
      </c>
      <c r="E953" s="191">
        <v>41060</v>
      </c>
      <c r="F953" s="192" t="s">
        <v>753</v>
      </c>
      <c r="G953" s="192" t="s">
        <v>746</v>
      </c>
      <c r="H953" s="193" t="s">
        <v>674</v>
      </c>
      <c r="I953" s="252"/>
      <c r="J953" s="252"/>
      <c r="K953" s="38">
        <v>1814247</v>
      </c>
      <c r="L953" s="194" t="s">
        <v>9</v>
      </c>
      <c r="M953" s="616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A953" s="198">
        <v>5</v>
      </c>
    </row>
    <row r="954" spans="1:30" ht="15.75" customHeight="1">
      <c r="A954" s="204" t="str">
        <f>IF(B954&lt;&gt;"",IF(AND(B954&gt;=_TM1,B954&lt;=_TM2,OR(TH!L954="1111",TH!M954="1111")),TH!D954,""),"")</f>
        <v/>
      </c>
      <c r="B954" s="36">
        <f t="shared" si="62"/>
        <v>5</v>
      </c>
      <c r="C954" s="191">
        <v>41060</v>
      </c>
      <c r="D954" s="184" t="s">
        <v>1665</v>
      </c>
      <c r="E954" s="191">
        <v>41060</v>
      </c>
      <c r="F954" s="192" t="s">
        <v>400</v>
      </c>
      <c r="G954" s="192" t="s">
        <v>746</v>
      </c>
      <c r="H954" s="193" t="s">
        <v>674</v>
      </c>
      <c r="I954" s="252"/>
      <c r="J954" s="252"/>
      <c r="K954" s="38">
        <v>19956717</v>
      </c>
      <c r="L954" s="616" t="s">
        <v>8</v>
      </c>
      <c r="M954" s="616" t="s">
        <v>48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</row>
    <row r="955" spans="1:30" ht="15.75" customHeight="1">
      <c r="A955" s="204" t="str">
        <f>IF(B955&lt;&gt;"",IF(AND(B955&gt;=_TM1,B955&lt;=_TM2,OR(TH!L955="1111",TH!M955="1111")),TH!D955,""),"")</f>
        <v/>
      </c>
      <c r="B955" s="36">
        <f t="shared" si="62"/>
        <v>5</v>
      </c>
      <c r="C955" s="191">
        <f t="shared" ref="C955:C966" si="63">E955</f>
        <v>41060</v>
      </c>
      <c r="D955" s="191" t="s">
        <v>1629</v>
      </c>
      <c r="E955" s="191">
        <v>41060</v>
      </c>
      <c r="F955" s="189" t="s">
        <v>1121</v>
      </c>
      <c r="G955" s="490" t="s">
        <v>1013</v>
      </c>
      <c r="H955" s="193" t="s">
        <v>958</v>
      </c>
      <c r="I955" s="252">
        <v>488</v>
      </c>
      <c r="J955" s="252">
        <v>8000</v>
      </c>
      <c r="K955" s="38">
        <f>ROUND(I955*J955,0)</f>
        <v>3904000</v>
      </c>
      <c r="L955" s="194" t="s">
        <v>284</v>
      </c>
      <c r="M955" s="194" t="s">
        <v>185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  <c r="AA955" s="211"/>
      <c r="AB955" s="211"/>
      <c r="AC955" s="211"/>
      <c r="AD955" s="211"/>
    </row>
    <row r="956" spans="1:30" ht="15.75" customHeight="1">
      <c r="A956" s="204" t="str">
        <f>IF(B956&lt;&gt;"",IF(AND(B956&gt;=_TM1,B956&lt;=_TM2,OR(TH!L956="1111",TH!M956="1111")),TH!D956,""),"")</f>
        <v/>
      </c>
      <c r="B956" s="36">
        <f t="shared" si="62"/>
        <v>5</v>
      </c>
      <c r="C956" s="191">
        <f t="shared" si="63"/>
        <v>41060</v>
      </c>
      <c r="D956" s="191" t="s">
        <v>1629</v>
      </c>
      <c r="E956" s="191">
        <v>41060</v>
      </c>
      <c r="F956" s="192" t="s">
        <v>555</v>
      </c>
      <c r="G956" s="490" t="s">
        <v>1013</v>
      </c>
      <c r="H956" s="193" t="s">
        <v>958</v>
      </c>
      <c r="I956" s="252"/>
      <c r="J956" s="252"/>
      <c r="K956" s="38">
        <v>390400</v>
      </c>
      <c r="L956" s="194" t="s">
        <v>284</v>
      </c>
      <c r="M956" s="194" t="s">
        <v>495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customHeight="1">
      <c r="A957" s="204" t="str">
        <f>IF(B957&lt;&gt;"",IF(AND(B957&gt;=_TM1,B957&lt;=_TM2,OR(TH!L957="1111",TH!M957="1111")),TH!D957,""),"")</f>
        <v/>
      </c>
      <c r="B957" s="36">
        <f t="shared" si="62"/>
        <v>5</v>
      </c>
      <c r="C957" s="191">
        <f t="shared" si="63"/>
        <v>41060</v>
      </c>
      <c r="D957" s="191" t="s">
        <v>1669</v>
      </c>
      <c r="E957" s="191">
        <v>41060</v>
      </c>
      <c r="F957" s="192" t="s">
        <v>365</v>
      </c>
      <c r="G957" s="490" t="s">
        <v>1013</v>
      </c>
      <c r="H957" s="193" t="s">
        <v>958</v>
      </c>
      <c r="I957" s="252"/>
      <c r="J957" s="252"/>
      <c r="K957" s="38">
        <v>4294400</v>
      </c>
      <c r="L957" s="194" t="s">
        <v>48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>x</v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customHeight="1">
      <c r="A958" s="204" t="str">
        <f>IF(B958&lt;&gt;"",IF(AND(B958&gt;=_TM1,B958&lt;=_TM2,OR(TH!L958="1111",TH!M958="1111")),TH!D958,""),"")</f>
        <v/>
      </c>
      <c r="B958" s="36">
        <f t="shared" si="62"/>
        <v>5</v>
      </c>
      <c r="C958" s="191">
        <f t="shared" si="63"/>
        <v>41060</v>
      </c>
      <c r="D958" s="191" t="s">
        <v>1630</v>
      </c>
      <c r="E958" s="191">
        <v>41060</v>
      </c>
      <c r="F958" s="192" t="s">
        <v>551</v>
      </c>
      <c r="G958" s="490" t="s">
        <v>1014</v>
      </c>
      <c r="H958" s="210" t="s">
        <v>1015</v>
      </c>
      <c r="I958" s="254">
        <v>3000</v>
      </c>
      <c r="J958" s="254">
        <v>5000</v>
      </c>
      <c r="K958" s="38">
        <f>ROUND(I958*J958,0)</f>
        <v>15000000</v>
      </c>
      <c r="L958" s="194" t="s">
        <v>284</v>
      </c>
      <c r="M958" s="194" t="s">
        <v>185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  <c r="AA958" s="211"/>
      <c r="AB958" s="211"/>
      <c r="AC958" s="211"/>
      <c r="AD958" s="211"/>
    </row>
    <row r="959" spans="1:30" ht="15.75" customHeight="1">
      <c r="A959" s="204" t="str">
        <f>IF(B959&lt;&gt;"",IF(AND(B959&gt;=_TM1,B959&lt;=_TM2,OR(TH!L959="1111",TH!M959="1111")),TH!D959,""),"")</f>
        <v/>
      </c>
      <c r="B959" s="36">
        <f t="shared" si="62"/>
        <v>5</v>
      </c>
      <c r="C959" s="191">
        <f t="shared" si="63"/>
        <v>41060</v>
      </c>
      <c r="D959" s="191" t="s">
        <v>1630</v>
      </c>
      <c r="E959" s="191">
        <v>41060</v>
      </c>
      <c r="F959" s="192" t="s">
        <v>555</v>
      </c>
      <c r="G959" s="490" t="s">
        <v>1014</v>
      </c>
      <c r="H959" s="210" t="s">
        <v>1015</v>
      </c>
      <c r="I959" s="252"/>
      <c r="J959" s="252"/>
      <c r="K959" s="38">
        <v>1500000</v>
      </c>
      <c r="L959" s="194" t="s">
        <v>284</v>
      </c>
      <c r="M959" s="194" t="s">
        <v>495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customHeight="1">
      <c r="A960" s="204" t="str">
        <f>IF(B960&lt;&gt;"",IF(AND(B960&gt;=_TM1,B960&lt;=_TM2,OR(TH!L960="1111",TH!M960="1111")),TH!D960,""),"")</f>
        <v/>
      </c>
      <c r="B960" s="36">
        <f t="shared" si="62"/>
        <v>5</v>
      </c>
      <c r="C960" s="191">
        <f t="shared" si="63"/>
        <v>41060</v>
      </c>
      <c r="D960" s="191" t="s">
        <v>1670</v>
      </c>
      <c r="E960" s="191">
        <v>41060</v>
      </c>
      <c r="F960" s="192" t="s">
        <v>365</v>
      </c>
      <c r="G960" s="490" t="s">
        <v>1014</v>
      </c>
      <c r="H960" s="210" t="s">
        <v>1015</v>
      </c>
      <c r="I960" s="252"/>
      <c r="J960" s="252"/>
      <c r="K960" s="38">
        <v>16500000</v>
      </c>
      <c r="L960" s="194" t="s">
        <v>48</v>
      </c>
      <c r="M960" s="194" t="s">
        <v>284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>x</v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customHeight="1">
      <c r="A961" s="204" t="str">
        <f>IF(B961&lt;&gt;"",IF(AND(B961&gt;=_TM1,B961&lt;=_TM2,OR(TH!L961="1111",TH!M961="1111")),TH!D961,""),"")</f>
        <v/>
      </c>
      <c r="B961" s="36">
        <f t="shared" si="62"/>
        <v>5</v>
      </c>
      <c r="C961" s="191">
        <f t="shared" si="63"/>
        <v>41060</v>
      </c>
      <c r="D961" s="191" t="s">
        <v>1631</v>
      </c>
      <c r="E961" s="191">
        <v>41060</v>
      </c>
      <c r="F961" s="192" t="s">
        <v>552</v>
      </c>
      <c r="G961" s="490" t="s">
        <v>1016</v>
      </c>
      <c r="H961" s="7" t="s">
        <v>500</v>
      </c>
      <c r="I961" s="252">
        <v>546</v>
      </c>
      <c r="J961" s="252">
        <v>12790</v>
      </c>
      <c r="K961" s="38">
        <f>ROUND(I961*J961,0)</f>
        <v>6983340</v>
      </c>
      <c r="L961" s="194" t="s">
        <v>284</v>
      </c>
      <c r="M961" s="194" t="s">
        <v>185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A961" s="211"/>
      <c r="AB961" s="211"/>
      <c r="AC961" s="211"/>
      <c r="AD961" s="211"/>
    </row>
    <row r="962" spans="1:30" ht="15.75" customHeight="1">
      <c r="A962" s="204" t="str">
        <f>IF(B962&lt;&gt;"",IF(AND(B962&gt;=_TM1,B962&lt;=_TM2,OR(TH!L962="1111",TH!M962="1111")),TH!D962,""),"")</f>
        <v/>
      </c>
      <c r="B962" s="36">
        <f t="shared" si="62"/>
        <v>5</v>
      </c>
      <c r="C962" s="191">
        <f t="shared" si="63"/>
        <v>41060</v>
      </c>
      <c r="D962" s="191" t="s">
        <v>1631</v>
      </c>
      <c r="E962" s="191">
        <v>41060</v>
      </c>
      <c r="F962" s="192" t="s">
        <v>1179</v>
      </c>
      <c r="G962" s="490" t="s">
        <v>1016</v>
      </c>
      <c r="H962" s="7" t="s">
        <v>500</v>
      </c>
      <c r="I962" s="254"/>
      <c r="J962" s="254"/>
      <c r="K962" s="38">
        <v>698334</v>
      </c>
      <c r="L962" s="194" t="s">
        <v>284</v>
      </c>
      <c r="M962" s="194" t="s">
        <v>495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</row>
    <row r="963" spans="1:30" ht="15.75" customHeight="1">
      <c r="A963" s="204" t="str">
        <f>IF(B963&lt;&gt;"",IF(AND(B963&gt;=_TM1,B963&lt;=_TM2,OR(TH!L963="1111",TH!M963="1111")),TH!D963,""),"")</f>
        <v/>
      </c>
      <c r="B963" s="36">
        <f t="shared" si="62"/>
        <v>6</v>
      </c>
      <c r="C963" s="191">
        <f t="shared" si="63"/>
        <v>41061</v>
      </c>
      <c r="D963" s="191" t="s">
        <v>1632</v>
      </c>
      <c r="E963" s="191">
        <v>41061</v>
      </c>
      <c r="F963" s="192" t="s">
        <v>1178</v>
      </c>
      <c r="G963" s="490" t="s">
        <v>1017</v>
      </c>
      <c r="H963" s="193" t="s">
        <v>948</v>
      </c>
      <c r="I963" s="252">
        <v>620</v>
      </c>
      <c r="J963" s="252">
        <v>7250</v>
      </c>
      <c r="K963" s="38">
        <f>ROUND(I963*J963,0)</f>
        <v>4495000</v>
      </c>
      <c r="L963" s="194" t="s">
        <v>284</v>
      </c>
      <c r="M963" s="194" t="s">
        <v>185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211"/>
      <c r="AB963" s="211"/>
      <c r="AC963" s="211"/>
      <c r="AD963" s="211"/>
    </row>
    <row r="964" spans="1:30" ht="15.75" customHeight="1">
      <c r="A964" s="204" t="str">
        <f>IF(B964&lt;&gt;"",IF(AND(B964&gt;=_TM1,B964&lt;=_TM2,OR(TH!L964="1111",TH!M964="1111")),TH!D964,""),"")</f>
        <v/>
      </c>
      <c r="B964" s="36">
        <f t="shared" si="62"/>
        <v>6</v>
      </c>
      <c r="C964" s="191">
        <f t="shared" si="63"/>
        <v>41061</v>
      </c>
      <c r="D964" s="191" t="s">
        <v>1632</v>
      </c>
      <c r="E964" s="191">
        <v>41061</v>
      </c>
      <c r="F964" s="192" t="s">
        <v>1177</v>
      </c>
      <c r="G964" s="490" t="s">
        <v>1017</v>
      </c>
      <c r="H964" s="193" t="s">
        <v>948</v>
      </c>
      <c r="I964" s="252">
        <v>196</v>
      </c>
      <c r="J964" s="252">
        <v>6680</v>
      </c>
      <c r="K964" s="38">
        <f>ROUND(I964*J964,0)</f>
        <v>1309280</v>
      </c>
      <c r="L964" s="194" t="s">
        <v>284</v>
      </c>
      <c r="M964" s="194" t="s">
        <v>185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211"/>
      <c r="AB964" s="211"/>
      <c r="AC964" s="211"/>
      <c r="AD964" s="211"/>
    </row>
    <row r="965" spans="1:30" ht="15.75" customHeight="1">
      <c r="A965" s="204" t="str">
        <f>IF(B965&lt;&gt;"",IF(AND(B965&gt;=_TM1,B965&lt;=_TM2,OR(TH!L965="1111",TH!M965="1111")),TH!D965,""),"")</f>
        <v/>
      </c>
      <c r="B965" s="36">
        <f t="shared" si="62"/>
        <v>6</v>
      </c>
      <c r="C965" s="191">
        <f t="shared" si="63"/>
        <v>41061</v>
      </c>
      <c r="D965" s="191" t="s">
        <v>1632</v>
      </c>
      <c r="E965" s="191">
        <v>41061</v>
      </c>
      <c r="F965" s="192" t="s">
        <v>555</v>
      </c>
      <c r="G965" s="490" t="s">
        <v>1017</v>
      </c>
      <c r="H965" s="193" t="s">
        <v>948</v>
      </c>
      <c r="I965" s="252"/>
      <c r="J965" s="252"/>
      <c r="K965" s="38">
        <v>580428</v>
      </c>
      <c r="L965" s="194" t="s">
        <v>284</v>
      </c>
      <c r="M965" s="194" t="s">
        <v>495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</row>
    <row r="966" spans="1:30" ht="15.75" customHeight="1">
      <c r="A966" s="204" t="str">
        <f>IF(B966&lt;&gt;"",IF(AND(B966&gt;=_TM1,B966&lt;=_TM2,OR(TH!L966="1111",TH!M966="1111")),TH!D966,""),"")</f>
        <v/>
      </c>
      <c r="B966" s="36">
        <f t="shared" si="62"/>
        <v>6</v>
      </c>
      <c r="C966" s="191">
        <f t="shared" si="63"/>
        <v>41061</v>
      </c>
      <c r="D966" s="191" t="s">
        <v>1671</v>
      </c>
      <c r="E966" s="191">
        <v>41061</v>
      </c>
      <c r="F966" s="192" t="s">
        <v>365</v>
      </c>
      <c r="G966" s="490" t="s">
        <v>1017</v>
      </c>
      <c r="H966" s="193" t="s">
        <v>948</v>
      </c>
      <c r="I966" s="252"/>
      <c r="J966" s="252"/>
      <c r="K966" s="38">
        <v>6384708</v>
      </c>
      <c r="L966" s="194" t="s">
        <v>48</v>
      </c>
      <c r="M966" s="194" t="s">
        <v>284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</row>
    <row r="967" spans="1:30" ht="15.75" customHeight="1">
      <c r="A967" s="204" t="str">
        <f>IF(B967&lt;&gt;"",IF(AND(B967&gt;=_TM1,B967&lt;=_TM2,OR(TH!L967="1111",TH!M967="1111")),TH!D967,""),"")</f>
        <v/>
      </c>
      <c r="B967" s="36">
        <f t="shared" si="62"/>
        <v>6</v>
      </c>
      <c r="C967" s="191">
        <v>41064</v>
      </c>
      <c r="D967" s="184" t="s">
        <v>488</v>
      </c>
      <c r="E967" s="191">
        <v>41064</v>
      </c>
      <c r="F967" s="192" t="s">
        <v>1413</v>
      </c>
      <c r="G967" s="192" t="s">
        <v>754</v>
      </c>
      <c r="H967" s="7" t="s">
        <v>436</v>
      </c>
      <c r="I967" s="252">
        <v>250</v>
      </c>
      <c r="J967" s="252">
        <v>17722</v>
      </c>
      <c r="K967" s="38">
        <v>4430500</v>
      </c>
      <c r="L967" s="194" t="s">
        <v>169</v>
      </c>
      <c r="M967" s="616" t="s">
        <v>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  <c r="AB967" s="606"/>
    </row>
    <row r="968" spans="1:30" ht="15.75" customHeight="1">
      <c r="A968" s="204" t="str">
        <f>IF(B968&lt;&gt;"",IF(AND(B968&gt;=_TM1,B968&lt;=_TM2,OR(TH!L968="1111",TH!M968="1111")),TH!D968,""),"")</f>
        <v/>
      </c>
      <c r="B968" s="36">
        <f t="shared" si="62"/>
        <v>6</v>
      </c>
      <c r="C968" s="191">
        <v>41064</v>
      </c>
      <c r="D968" s="184" t="s">
        <v>488</v>
      </c>
      <c r="E968" s="191">
        <v>41064</v>
      </c>
      <c r="F968" s="192" t="s">
        <v>566</v>
      </c>
      <c r="G968" s="192" t="s">
        <v>754</v>
      </c>
      <c r="H968" s="7" t="s">
        <v>436</v>
      </c>
      <c r="I968" s="252"/>
      <c r="J968" s="252"/>
      <c r="K968" s="38">
        <v>443050</v>
      </c>
      <c r="L968" s="194" t="s">
        <v>9</v>
      </c>
      <c r="M968" s="616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A968" s="198">
        <v>6</v>
      </c>
    </row>
    <row r="969" spans="1:30" ht="15.75" customHeight="1">
      <c r="A969" s="204" t="str">
        <f>IF(B969&lt;&gt;"",IF(AND(B969&gt;=_TM1,B969&lt;=_TM2,OR(TH!L969="1111",TH!M969="1111")),TH!D969,""),"")</f>
        <v/>
      </c>
      <c r="B969" s="36">
        <f t="shared" si="62"/>
        <v>6</v>
      </c>
      <c r="C969" s="191">
        <v>41064</v>
      </c>
      <c r="D969" s="184" t="s">
        <v>1667</v>
      </c>
      <c r="E969" s="191">
        <v>41064</v>
      </c>
      <c r="F969" s="192" t="s">
        <v>400</v>
      </c>
      <c r="G969" s="192" t="s">
        <v>754</v>
      </c>
      <c r="H969" s="7" t="s">
        <v>436</v>
      </c>
      <c r="I969" s="252"/>
      <c r="J969" s="252"/>
      <c r="K969" s="38">
        <v>4873550</v>
      </c>
      <c r="L969" s="616" t="s">
        <v>8</v>
      </c>
      <c r="M969" s="616" t="s">
        <v>48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>x</v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</row>
    <row r="970" spans="1:30" ht="15.75" customHeight="1">
      <c r="A970" s="204" t="str">
        <f>IF(B970&lt;&gt;"",IF(AND(B970&gt;=_TM1,B970&lt;=_TM2,OR(TH!L970="1111",TH!M970="1111")),TH!D970,""),"")</f>
        <v/>
      </c>
      <c r="B970" s="36">
        <f t="shared" si="62"/>
        <v>6</v>
      </c>
      <c r="C970" s="191">
        <f>E970</f>
        <v>41065</v>
      </c>
      <c r="D970" s="184" t="s">
        <v>1668</v>
      </c>
      <c r="E970" s="191">
        <v>41065</v>
      </c>
      <c r="F970" s="189" t="s">
        <v>589</v>
      </c>
      <c r="G970" s="488" t="s">
        <v>1472</v>
      </c>
      <c r="H970" s="7" t="s">
        <v>591</v>
      </c>
      <c r="I970" s="252"/>
      <c r="J970" s="255"/>
      <c r="K970" s="615">
        <v>697704</v>
      </c>
      <c r="L970" s="194" t="s">
        <v>84</v>
      </c>
      <c r="M970" s="616" t="s">
        <v>48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>x</v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>642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A970" s="211"/>
      <c r="AB970" s="211"/>
      <c r="AC970" s="211"/>
      <c r="AD970" s="211"/>
    </row>
    <row r="971" spans="1:30" ht="15.75" customHeight="1">
      <c r="A971" s="204" t="str">
        <f>IF(B971&lt;&gt;"",IF(AND(B971&gt;=_TM1,B971&lt;=_TM2,OR(TH!L971="1111",TH!M971="1111")),TH!D971,""),"")</f>
        <v/>
      </c>
      <c r="B971" s="36">
        <f t="shared" si="62"/>
        <v>6</v>
      </c>
      <c r="C971" s="191">
        <f>E971</f>
        <v>41065</v>
      </c>
      <c r="D971" s="184" t="s">
        <v>1668</v>
      </c>
      <c r="E971" s="191">
        <v>41065</v>
      </c>
      <c r="F971" s="189" t="s">
        <v>592</v>
      </c>
      <c r="G971" s="488" t="s">
        <v>1472</v>
      </c>
      <c r="H971" s="7" t="s">
        <v>591</v>
      </c>
      <c r="I971" s="255"/>
      <c r="J971" s="255"/>
      <c r="K971" s="38">
        <v>69770</v>
      </c>
      <c r="L971" s="194" t="s">
        <v>9</v>
      </c>
      <c r="M971" s="616" t="s">
        <v>48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>x</v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A971" s="211">
        <v>6</v>
      </c>
      <c r="AB971" s="211"/>
      <c r="AC971" s="606"/>
      <c r="AD971" s="606"/>
    </row>
    <row r="972" spans="1:30" ht="15.75" customHeight="1">
      <c r="A972" s="204" t="str">
        <f>IF(B972&lt;&gt;"",IF(AND(B972&gt;=_TM1,B972&lt;=_TM2,OR(TH!L972="1111",TH!M972="1111")),TH!D972,""),"")</f>
        <v/>
      </c>
      <c r="B972" s="36">
        <f t="shared" si="62"/>
        <v>6</v>
      </c>
      <c r="C972" s="191">
        <v>41066</v>
      </c>
      <c r="D972" s="184" t="s">
        <v>489</v>
      </c>
      <c r="E972" s="191">
        <v>41066</v>
      </c>
      <c r="F972" s="192" t="s">
        <v>755</v>
      </c>
      <c r="G972" s="192" t="s">
        <v>756</v>
      </c>
      <c r="H972" s="854" t="s">
        <v>757</v>
      </c>
      <c r="I972" s="252">
        <v>600</v>
      </c>
      <c r="J972" s="252">
        <v>8930</v>
      </c>
      <c r="K972" s="38">
        <v>5358000</v>
      </c>
      <c r="L972" s="194" t="s">
        <v>169</v>
      </c>
      <c r="M972" s="616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B972" s="606"/>
    </row>
    <row r="973" spans="1:30" ht="15.75" customHeight="1">
      <c r="A973" s="204" t="str">
        <f>IF(B973&lt;&gt;"",IF(AND(B973&gt;=_TM1,B973&lt;=_TM2,OR(TH!L973="1111",TH!M973="1111")),TH!D973,""),"")</f>
        <v/>
      </c>
      <c r="B973" s="36">
        <f t="shared" si="62"/>
        <v>6</v>
      </c>
      <c r="C973" s="191">
        <v>41066</v>
      </c>
      <c r="D973" s="184" t="s">
        <v>489</v>
      </c>
      <c r="E973" s="191">
        <v>41066</v>
      </c>
      <c r="F973" s="192" t="s">
        <v>758</v>
      </c>
      <c r="G973" s="490" t="s">
        <v>756</v>
      </c>
      <c r="H973" s="193" t="s">
        <v>757</v>
      </c>
      <c r="I973" s="252">
        <v>600</v>
      </c>
      <c r="J973" s="252">
        <v>12066</v>
      </c>
      <c r="K973" s="38">
        <v>7239600</v>
      </c>
      <c r="L973" s="194" t="s">
        <v>169</v>
      </c>
      <c r="M973" s="616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B973" s="606"/>
    </row>
    <row r="974" spans="1:30" ht="15.75" customHeight="1">
      <c r="A974" s="204" t="str">
        <f>IF(B974&lt;&gt;"",IF(AND(B974&gt;=_TM1,B974&lt;=_TM2,OR(TH!L974="1111",TH!M974="1111")),TH!D974,""),"")</f>
        <v/>
      </c>
      <c r="B974" s="36">
        <f t="shared" si="62"/>
        <v>6</v>
      </c>
      <c r="C974" s="191">
        <v>41066</v>
      </c>
      <c r="D974" s="184" t="s">
        <v>489</v>
      </c>
      <c r="E974" s="191">
        <v>41066</v>
      </c>
      <c r="F974" s="192" t="s">
        <v>759</v>
      </c>
      <c r="G974" s="490" t="s">
        <v>756</v>
      </c>
      <c r="H974" s="193" t="s">
        <v>757</v>
      </c>
      <c r="I974" s="252"/>
      <c r="J974" s="252"/>
      <c r="K974" s="38">
        <v>1259760</v>
      </c>
      <c r="L974" s="194" t="s">
        <v>9</v>
      </c>
      <c r="M974" s="616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  <c r="AA974" s="198">
        <v>6</v>
      </c>
    </row>
    <row r="975" spans="1:30" ht="15.75" customHeight="1">
      <c r="A975" s="204" t="str">
        <f>IF(B975&lt;&gt;"",IF(AND(B975&gt;=_TM1,B975&lt;=_TM2,OR(TH!L975="1111",TH!M975="1111")),TH!D975,""),"")</f>
        <v/>
      </c>
      <c r="B975" s="36">
        <f t="shared" si="62"/>
        <v>6</v>
      </c>
      <c r="C975" s="191">
        <v>41066</v>
      </c>
      <c r="D975" s="184" t="s">
        <v>1672</v>
      </c>
      <c r="E975" s="191">
        <v>41066</v>
      </c>
      <c r="F975" s="192" t="s">
        <v>400</v>
      </c>
      <c r="G975" s="490" t="s">
        <v>756</v>
      </c>
      <c r="H975" s="193" t="s">
        <v>757</v>
      </c>
      <c r="I975" s="252"/>
      <c r="J975" s="252"/>
      <c r="K975" s="38">
        <v>13857360</v>
      </c>
      <c r="L975" s="194" t="s">
        <v>8</v>
      </c>
      <c r="M975" s="616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>x</v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</row>
    <row r="976" spans="1:30" ht="15.75" customHeight="1">
      <c r="A976" s="204" t="str">
        <f>IF(B976&lt;&gt;"",IF(AND(B976&gt;=_TM1,B976&lt;=_TM2,OR(TH!L976="1111",TH!M976="1111")),TH!D976,""),"")</f>
        <v/>
      </c>
      <c r="B976" s="36">
        <f t="shared" si="62"/>
        <v>6</v>
      </c>
      <c r="C976" s="191">
        <v>41066</v>
      </c>
      <c r="D976" s="184" t="s">
        <v>760</v>
      </c>
      <c r="E976" s="191">
        <v>41066</v>
      </c>
      <c r="F976" s="192" t="s">
        <v>1440</v>
      </c>
      <c r="G976" s="192" t="s">
        <v>761</v>
      </c>
      <c r="H976" s="7" t="s">
        <v>436</v>
      </c>
      <c r="I976" s="252">
        <v>200</v>
      </c>
      <c r="J976" s="252">
        <v>13789</v>
      </c>
      <c r="K976" s="38">
        <v>2757800</v>
      </c>
      <c r="L976" s="194" t="s">
        <v>169</v>
      </c>
      <c r="M976" s="616" t="s">
        <v>8</v>
      </c>
      <c r="N976" s="52" t="str">
        <f>IF(AND('331-CT'!$E$7=TH!H976,OR(L976="331",M976="331")),"331",IF(AND(OR(L976="131",M976="131"),H976='131-CT'!$E$7),"131",""))</f>
        <v>331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B976" s="606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2"/>
        <v>6</v>
      </c>
      <c r="C977" s="191">
        <v>41066</v>
      </c>
      <c r="D977" s="184" t="s">
        <v>760</v>
      </c>
      <c r="E977" s="191">
        <v>41066</v>
      </c>
      <c r="F977" s="192" t="s">
        <v>1441</v>
      </c>
      <c r="G977" s="192" t="s">
        <v>761</v>
      </c>
      <c r="H977" s="7" t="s">
        <v>436</v>
      </c>
      <c r="I977" s="252">
        <v>200</v>
      </c>
      <c r="J977" s="252">
        <v>9324</v>
      </c>
      <c r="K977" s="38">
        <v>1864800</v>
      </c>
      <c r="L977" s="194" t="s">
        <v>169</v>
      </c>
      <c r="M977" s="616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B977" s="606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2"/>
        <v>6</v>
      </c>
      <c r="C978" s="191">
        <v>41066</v>
      </c>
      <c r="D978" s="184" t="s">
        <v>760</v>
      </c>
      <c r="E978" s="191">
        <v>41066</v>
      </c>
      <c r="F978" s="192" t="s">
        <v>1316</v>
      </c>
      <c r="G978" s="192" t="s">
        <v>761</v>
      </c>
      <c r="H978" s="7" t="s">
        <v>436</v>
      </c>
      <c r="I978" s="252">
        <v>200</v>
      </c>
      <c r="J978" s="252">
        <v>21119</v>
      </c>
      <c r="K978" s="38">
        <v>4223800</v>
      </c>
      <c r="L978" s="194" t="s">
        <v>169</v>
      </c>
      <c r="M978" s="616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B978" s="606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2"/>
        <v>6</v>
      </c>
      <c r="C979" s="191">
        <v>41066</v>
      </c>
      <c r="D979" s="184" t="s">
        <v>760</v>
      </c>
      <c r="E979" s="191">
        <v>41066</v>
      </c>
      <c r="F979" s="192" t="s">
        <v>1299</v>
      </c>
      <c r="G979" s="192" t="s">
        <v>761</v>
      </c>
      <c r="H979" s="7" t="s">
        <v>436</v>
      </c>
      <c r="I979" s="252">
        <v>1600</v>
      </c>
      <c r="J979" s="252">
        <v>10775</v>
      </c>
      <c r="K979" s="38">
        <v>17240000</v>
      </c>
      <c r="L979" s="194" t="s">
        <v>169</v>
      </c>
      <c r="M979" s="616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B979" s="606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2"/>
        <v>6</v>
      </c>
      <c r="C980" s="191">
        <v>41066</v>
      </c>
      <c r="D980" s="184" t="s">
        <v>760</v>
      </c>
      <c r="E980" s="191">
        <v>41066</v>
      </c>
      <c r="F980" s="192" t="s">
        <v>566</v>
      </c>
      <c r="G980" s="192" t="s">
        <v>761</v>
      </c>
      <c r="H980" s="7" t="s">
        <v>436</v>
      </c>
      <c r="I980" s="252"/>
      <c r="J980" s="252"/>
      <c r="K980" s="38">
        <v>2608640</v>
      </c>
      <c r="L980" s="194" t="s">
        <v>9</v>
      </c>
      <c r="M980" s="616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198">
        <v>6</v>
      </c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ref="B981:B1044" si="64">IF(C981&lt;&gt;"",MONTH(C981),"")</f>
        <v>6</v>
      </c>
      <c r="C981" s="191">
        <f>E981</f>
        <v>41066</v>
      </c>
      <c r="D981" s="184" t="s">
        <v>1673</v>
      </c>
      <c r="E981" s="191">
        <v>41066</v>
      </c>
      <c r="F981" s="192" t="s">
        <v>400</v>
      </c>
      <c r="G981" s="192" t="s">
        <v>761</v>
      </c>
      <c r="H981" s="7" t="s">
        <v>436</v>
      </c>
      <c r="I981" s="252"/>
      <c r="J981" s="252"/>
      <c r="K981" s="38">
        <v>15000000</v>
      </c>
      <c r="L981" s="616" t="s">
        <v>8</v>
      </c>
      <c r="M981" s="616" t="s">
        <v>48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41068</v>
      </c>
      <c r="D982" s="191" t="s">
        <v>363</v>
      </c>
      <c r="E982" s="191">
        <v>41068</v>
      </c>
      <c r="F982" s="192" t="s">
        <v>365</v>
      </c>
      <c r="G982" s="192" t="s">
        <v>361</v>
      </c>
      <c r="H982" s="852" t="s">
        <v>762</v>
      </c>
      <c r="I982" s="252"/>
      <c r="J982" s="252"/>
      <c r="K982" s="38">
        <v>60240213</v>
      </c>
      <c r="L982" s="194" t="s">
        <v>24</v>
      </c>
      <c r="M982" s="194" t="s">
        <v>284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>x</v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41068</v>
      </c>
      <c r="D983" s="191" t="s">
        <v>363</v>
      </c>
      <c r="E983" s="191">
        <v>41068</v>
      </c>
      <c r="F983" s="192" t="s">
        <v>365</v>
      </c>
      <c r="G983" s="490" t="s">
        <v>361</v>
      </c>
      <c r="H983" s="7" t="s">
        <v>496</v>
      </c>
      <c r="I983" s="252"/>
      <c r="J983" s="252"/>
      <c r="K983" s="38">
        <v>18522867</v>
      </c>
      <c r="L983" s="194" t="s">
        <v>24</v>
      </c>
      <c r="M983" s="194" t="s">
        <v>284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>x</v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41068</v>
      </c>
      <c r="D984" s="191" t="s">
        <v>363</v>
      </c>
      <c r="E984" s="191">
        <v>41068</v>
      </c>
      <c r="F984" s="192" t="s">
        <v>365</v>
      </c>
      <c r="G984" s="192" t="s">
        <v>361</v>
      </c>
      <c r="H984" s="193" t="s">
        <v>700</v>
      </c>
      <c r="I984" s="252"/>
      <c r="J984" s="252"/>
      <c r="K984" s="38">
        <v>8479130</v>
      </c>
      <c r="L984" s="194" t="s">
        <v>24</v>
      </c>
      <c r="M984" s="194" t="s">
        <v>284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>x</v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41068</v>
      </c>
      <c r="D985" s="191" t="s">
        <v>364</v>
      </c>
      <c r="E985" s="191">
        <v>41068</v>
      </c>
      <c r="F985" s="192" t="s">
        <v>400</v>
      </c>
      <c r="G985" s="192" t="s">
        <v>361</v>
      </c>
      <c r="H985" s="7" t="s">
        <v>436</v>
      </c>
      <c r="I985" s="252"/>
      <c r="J985" s="252"/>
      <c r="K985" s="38">
        <v>13857360</v>
      </c>
      <c r="L985" s="616" t="s">
        <v>8</v>
      </c>
      <c r="M985" s="194" t="s">
        <v>24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>x</v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41068</v>
      </c>
      <c r="D986" s="191" t="s">
        <v>364</v>
      </c>
      <c r="E986" s="191">
        <v>41068</v>
      </c>
      <c r="F986" s="192" t="s">
        <v>366</v>
      </c>
      <c r="G986" s="192" t="s">
        <v>361</v>
      </c>
      <c r="H986" s="193"/>
      <c r="I986" s="252"/>
      <c r="J986" s="252"/>
      <c r="K986" s="38">
        <v>20000</v>
      </c>
      <c r="L986" s="194" t="s">
        <v>84</v>
      </c>
      <c r="M986" s="194" t="s">
        <v>24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>x</v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>642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41068</v>
      </c>
      <c r="D987" s="184" t="s">
        <v>763</v>
      </c>
      <c r="E987" s="191">
        <v>41068</v>
      </c>
      <c r="F987" s="192" t="s">
        <v>1318</v>
      </c>
      <c r="G987" s="192" t="s">
        <v>764</v>
      </c>
      <c r="H987" s="7" t="s">
        <v>436</v>
      </c>
      <c r="I987" s="252">
        <v>103</v>
      </c>
      <c r="J987" s="252">
        <v>23725</v>
      </c>
      <c r="K987" s="38">
        <v>2443675</v>
      </c>
      <c r="L987" s="194" t="s">
        <v>169</v>
      </c>
      <c r="M987" s="616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6"/>
    </row>
    <row r="988" spans="1:30" s="894" customFormat="1" ht="15.75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41068</v>
      </c>
      <c r="D988" s="184" t="s">
        <v>763</v>
      </c>
      <c r="E988" s="191">
        <v>41068</v>
      </c>
      <c r="F988" s="192" t="s">
        <v>1319</v>
      </c>
      <c r="G988" s="192" t="s">
        <v>764</v>
      </c>
      <c r="H988" s="7" t="s">
        <v>436</v>
      </c>
      <c r="I988" s="252">
        <v>100</v>
      </c>
      <c r="J988" s="252">
        <v>29734</v>
      </c>
      <c r="K988" s="38">
        <v>2973400</v>
      </c>
      <c r="L988" s="194" t="s">
        <v>169</v>
      </c>
      <c r="M988" s="616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/>
      <c r="AB988" s="606"/>
      <c r="AC988" s="198"/>
      <c r="AD988" s="198"/>
    </row>
    <row r="989" spans="1:30" s="894" customFormat="1" ht="15.75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v>41068</v>
      </c>
      <c r="D989" s="184" t="s">
        <v>763</v>
      </c>
      <c r="E989" s="191">
        <v>41068</v>
      </c>
      <c r="F989" s="192" t="s">
        <v>1320</v>
      </c>
      <c r="G989" s="192" t="s">
        <v>764</v>
      </c>
      <c r="H989" s="7" t="s">
        <v>436</v>
      </c>
      <c r="I989" s="252">
        <v>120</v>
      </c>
      <c r="J989" s="252">
        <v>26664</v>
      </c>
      <c r="K989" s="38">
        <v>3199680</v>
      </c>
      <c r="L989" s="194" t="s">
        <v>169</v>
      </c>
      <c r="M989" s="616" t="s">
        <v>8</v>
      </c>
      <c r="N989" s="52" t="str">
        <f>IF(AND('331-CT'!$E$7=TH!H989,OR(L989="331",M989="331")),"331",IF(AND(OR(L989="131",M989="131"),H989='131-CT'!$E$7),"131",""))</f>
        <v>331</v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198"/>
      <c r="AB989" s="606"/>
      <c r="AC989" s="198"/>
      <c r="AD989" s="198"/>
    </row>
    <row r="990" spans="1:30" s="894" customFormat="1" ht="15.75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v>41068</v>
      </c>
      <c r="D990" s="184" t="s">
        <v>763</v>
      </c>
      <c r="E990" s="191">
        <v>41068</v>
      </c>
      <c r="F990" s="192" t="s">
        <v>1321</v>
      </c>
      <c r="G990" s="192" t="s">
        <v>764</v>
      </c>
      <c r="H990" s="7" t="s">
        <v>436</v>
      </c>
      <c r="I990" s="252">
        <v>170</v>
      </c>
      <c r="J990" s="252">
        <v>30997</v>
      </c>
      <c r="K990" s="38">
        <v>5269490</v>
      </c>
      <c r="L990" s="194" t="s">
        <v>169</v>
      </c>
      <c r="M990" s="616" t="s">
        <v>8</v>
      </c>
      <c r="N990" s="52" t="str">
        <f>IF(AND('331-CT'!$E$7=TH!H990,OR(L990="331",M990="331")),"331",IF(AND(OR(L990="131",M990="131"),H990='131-CT'!$E$7),"131",""))</f>
        <v>331</v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198"/>
      <c r="AB990" s="606"/>
      <c r="AC990" s="198"/>
      <c r="AD990" s="198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v>41068</v>
      </c>
      <c r="D991" s="184" t="s">
        <v>763</v>
      </c>
      <c r="E991" s="191">
        <v>41068</v>
      </c>
      <c r="F991" s="192" t="s">
        <v>1322</v>
      </c>
      <c r="G991" s="192" t="s">
        <v>764</v>
      </c>
      <c r="H991" s="7" t="s">
        <v>436</v>
      </c>
      <c r="I991" s="252">
        <v>50</v>
      </c>
      <c r="J991" s="252">
        <v>38106</v>
      </c>
      <c r="K991" s="38">
        <v>1905300</v>
      </c>
      <c r="L991" s="194" t="s">
        <v>169</v>
      </c>
      <c r="M991" s="616" t="s">
        <v>8</v>
      </c>
      <c r="N991" s="52" t="str">
        <f>IF(AND('331-CT'!$E$7=TH!H991,OR(L991="331",M991="331")),"331",IF(AND(OR(L991="131",M991="131"),H991='131-CT'!$E$7),"131",""))</f>
        <v>331</v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B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v>41068</v>
      </c>
      <c r="D992" s="184" t="s">
        <v>763</v>
      </c>
      <c r="E992" s="191">
        <v>41068</v>
      </c>
      <c r="F992" s="192" t="s">
        <v>566</v>
      </c>
      <c r="G992" s="192" t="s">
        <v>764</v>
      </c>
      <c r="H992" s="7" t="s">
        <v>436</v>
      </c>
      <c r="I992" s="252"/>
      <c r="J992" s="252"/>
      <c r="K992" s="38">
        <v>1579155</v>
      </c>
      <c r="L992" s="194" t="s">
        <v>9</v>
      </c>
      <c r="M992" s="616" t="s">
        <v>8</v>
      </c>
      <c r="N992" s="52" t="str">
        <f>IF(AND('331-CT'!$E$7=TH!H992,OR(L992="331",M992="331")),"331",IF(AND(OR(L992="131",M992="131"),H992='131-CT'!$E$7),"131",""))</f>
        <v>331</v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198">
        <v>6</v>
      </c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v>41068</v>
      </c>
      <c r="D993" s="184" t="s">
        <v>1674</v>
      </c>
      <c r="E993" s="191">
        <v>41068</v>
      </c>
      <c r="F993" s="192" t="s">
        <v>400</v>
      </c>
      <c r="G993" s="192" t="s">
        <v>764</v>
      </c>
      <c r="H993" s="7" t="s">
        <v>436</v>
      </c>
      <c r="I993" s="252"/>
      <c r="J993" s="252"/>
      <c r="K993" s="38">
        <v>17370700</v>
      </c>
      <c r="L993" s="616" t="s">
        <v>8</v>
      </c>
      <c r="M993" s="616" t="s">
        <v>48</v>
      </c>
      <c r="N993" s="52" t="str">
        <f>IF(AND('331-CT'!$E$7=TH!H993,OR(L993="331",M993="331")),"331",IF(AND(OR(L993="131",M993="131"),H993='131-CT'!$E$7),"131",""))</f>
        <v>331</v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91">
        <v>41068</v>
      </c>
      <c r="D994" s="184" t="s">
        <v>765</v>
      </c>
      <c r="E994" s="191">
        <v>41068</v>
      </c>
      <c r="F994" s="192" t="s">
        <v>1442</v>
      </c>
      <c r="G994" s="192" t="s">
        <v>766</v>
      </c>
      <c r="H994" s="7" t="s">
        <v>436</v>
      </c>
      <c r="I994" s="252">
        <v>550</v>
      </c>
      <c r="J994" s="252">
        <v>9891</v>
      </c>
      <c r="K994" s="38">
        <v>5440050</v>
      </c>
      <c r="L994" s="194" t="s">
        <v>169</v>
      </c>
      <c r="M994" s="616" t="s">
        <v>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B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v>41068</v>
      </c>
      <c r="D995" s="184" t="s">
        <v>765</v>
      </c>
      <c r="E995" s="191">
        <v>41068</v>
      </c>
      <c r="F995" s="192" t="s">
        <v>1392</v>
      </c>
      <c r="G995" s="192" t="s">
        <v>766</v>
      </c>
      <c r="H995" s="7" t="s">
        <v>436</v>
      </c>
      <c r="I995" s="252">
        <v>340</v>
      </c>
      <c r="J995" s="252">
        <v>14573</v>
      </c>
      <c r="K995" s="38">
        <v>4954820</v>
      </c>
      <c r="L995" s="194" t="s">
        <v>169</v>
      </c>
      <c r="M995" s="616" t="s">
        <v>8</v>
      </c>
      <c r="N995" s="52" t="str">
        <f>IF(AND('331-CT'!$E$7=TH!H995,OR(L995="331",M995="331")),"331",IF(AND(OR(L995="131",M995="131"),H995='131-CT'!$E$7),"131",""))</f>
        <v>331</v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B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v>41068</v>
      </c>
      <c r="D996" s="184" t="s">
        <v>765</v>
      </c>
      <c r="E996" s="191">
        <v>41068</v>
      </c>
      <c r="F996" s="192" t="s">
        <v>1323</v>
      </c>
      <c r="G996" s="192" t="s">
        <v>766</v>
      </c>
      <c r="H996" s="7" t="s">
        <v>436</v>
      </c>
      <c r="I996" s="252">
        <v>40</v>
      </c>
      <c r="J996" s="252">
        <v>28207</v>
      </c>
      <c r="K996" s="38">
        <v>1128280</v>
      </c>
      <c r="L996" s="194" t="s">
        <v>169</v>
      </c>
      <c r="M996" s="616" t="s">
        <v>8</v>
      </c>
      <c r="N996" s="52" t="str">
        <f>IF(AND('331-CT'!$E$7=TH!H996,OR(L996="331",M996="331")),"331",IF(AND(OR(L996="131",M996="131"),H996='131-CT'!$E$7),"131",""))</f>
        <v>331</v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B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v>41068</v>
      </c>
      <c r="D997" s="184" t="s">
        <v>765</v>
      </c>
      <c r="E997" s="191">
        <v>41068</v>
      </c>
      <c r="F997" s="192" t="s">
        <v>767</v>
      </c>
      <c r="G997" s="192" t="s">
        <v>766</v>
      </c>
      <c r="H997" s="7" t="s">
        <v>436</v>
      </c>
      <c r="I997" s="252">
        <v>840</v>
      </c>
      <c r="J997" s="252">
        <v>27405</v>
      </c>
      <c r="K997" s="38">
        <v>23020200</v>
      </c>
      <c r="L997" s="194" t="s">
        <v>169</v>
      </c>
      <c r="M997" s="616" t="s">
        <v>8</v>
      </c>
      <c r="N997" s="52" t="str">
        <f>IF(AND('331-CT'!$E$7=TH!H997,OR(L997="331",M997="331")),"331",IF(AND(OR(L997="131",M997="131"),H997='131-CT'!$E$7),"131",""))</f>
        <v>331</v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B997" s="606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v>41068</v>
      </c>
      <c r="D998" s="184" t="s">
        <v>765</v>
      </c>
      <c r="E998" s="191">
        <v>41068</v>
      </c>
      <c r="F998" s="192" t="s">
        <v>566</v>
      </c>
      <c r="G998" s="192" t="s">
        <v>766</v>
      </c>
      <c r="H998" s="7" t="s">
        <v>436</v>
      </c>
      <c r="I998" s="254"/>
      <c r="J998" s="254"/>
      <c r="K998" s="38">
        <v>3454335</v>
      </c>
      <c r="L998" s="194" t="s">
        <v>9</v>
      </c>
      <c r="M998" s="616" t="s">
        <v>8</v>
      </c>
      <c r="N998" s="52" t="str">
        <f>IF(AND('331-CT'!$E$7=TH!H998,OR(L998="331",M998="331")),"331",IF(AND(OR(L998="131",M998="131"),H998='131-CT'!$E$7),"131",""))</f>
        <v>331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198">
        <v>6</v>
      </c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f>E999</f>
        <v>41069</v>
      </c>
      <c r="D999" s="191" t="s">
        <v>1633</v>
      </c>
      <c r="E999" s="191">
        <v>41069</v>
      </c>
      <c r="F999" s="192" t="s">
        <v>767</v>
      </c>
      <c r="G999" s="490" t="s">
        <v>1018</v>
      </c>
      <c r="H999" s="852" t="s">
        <v>762</v>
      </c>
      <c r="I999" s="252">
        <v>790</v>
      </c>
      <c r="J999" s="252">
        <v>28520</v>
      </c>
      <c r="K999" s="38">
        <f>ROUND(I999*J999,0)</f>
        <v>22530800</v>
      </c>
      <c r="L999" s="194" t="s">
        <v>284</v>
      </c>
      <c r="M999" s="194" t="s">
        <v>185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211"/>
      <c r="AB999" s="211"/>
      <c r="AC999" s="211"/>
      <c r="AD999" s="211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f>E1000</f>
        <v>41069</v>
      </c>
      <c r="D1000" s="191" t="s">
        <v>1633</v>
      </c>
      <c r="E1000" s="191">
        <v>41069</v>
      </c>
      <c r="F1000" s="192" t="s">
        <v>550</v>
      </c>
      <c r="G1000" s="490" t="s">
        <v>1018</v>
      </c>
      <c r="H1000" s="852" t="s">
        <v>762</v>
      </c>
      <c r="I1000" s="252"/>
      <c r="J1000" s="252"/>
      <c r="K1000" s="38">
        <v>2253080</v>
      </c>
      <c r="L1000" s="194" t="s">
        <v>284</v>
      </c>
      <c r="M1000" s="194" t="s">
        <v>495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41071</v>
      </c>
      <c r="D1001" s="191" t="s">
        <v>1688</v>
      </c>
      <c r="E1001" s="191">
        <v>41071</v>
      </c>
      <c r="F1001" s="192" t="s">
        <v>768</v>
      </c>
      <c r="G1001" s="490" t="s">
        <v>769</v>
      </c>
      <c r="H1001" s="193" t="s">
        <v>401</v>
      </c>
      <c r="I1001" s="252"/>
      <c r="J1001" s="252"/>
      <c r="K1001" s="38">
        <v>1600000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154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41071</v>
      </c>
      <c r="D1002" s="191" t="s">
        <v>1688</v>
      </c>
      <c r="E1002" s="191">
        <v>41071</v>
      </c>
      <c r="F1002" s="192" t="s">
        <v>372</v>
      </c>
      <c r="G1002" s="490" t="s">
        <v>769</v>
      </c>
      <c r="H1002" s="193" t="s">
        <v>401</v>
      </c>
      <c r="I1002" s="252"/>
      <c r="J1002" s="252"/>
      <c r="K1002" s="38">
        <v>160000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>x</v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41071</v>
      </c>
      <c r="D1003" s="184" t="s">
        <v>770</v>
      </c>
      <c r="E1003" s="191">
        <v>41071</v>
      </c>
      <c r="F1003" s="192" t="s">
        <v>1443</v>
      </c>
      <c r="G1003" s="490" t="s">
        <v>771</v>
      </c>
      <c r="H1003" s="7" t="s">
        <v>436</v>
      </c>
      <c r="I1003" s="252">
        <v>630</v>
      </c>
      <c r="J1003" s="252">
        <v>13042</v>
      </c>
      <c r="K1003" s="38">
        <v>8216460</v>
      </c>
      <c r="L1003" s="194" t="s">
        <v>169</v>
      </c>
      <c r="M1003" s="616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606"/>
      <c r="AB1003" s="606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41071</v>
      </c>
      <c r="D1004" s="184" t="s">
        <v>770</v>
      </c>
      <c r="E1004" s="191">
        <v>41071</v>
      </c>
      <c r="F1004" s="192" t="s">
        <v>1394</v>
      </c>
      <c r="G1004" s="490" t="s">
        <v>771</v>
      </c>
      <c r="H1004" s="7" t="s">
        <v>436</v>
      </c>
      <c r="I1004" s="252">
        <v>625</v>
      </c>
      <c r="J1004" s="252">
        <v>19819</v>
      </c>
      <c r="K1004" s="38">
        <v>12386875</v>
      </c>
      <c r="L1004" s="194" t="s">
        <v>169</v>
      </c>
      <c r="M1004" s="616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606"/>
      <c r="AB1004" s="606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41071</v>
      </c>
      <c r="D1005" s="184" t="s">
        <v>770</v>
      </c>
      <c r="E1005" s="191">
        <v>41071</v>
      </c>
      <c r="F1005" s="192" t="s">
        <v>1396</v>
      </c>
      <c r="G1005" s="192" t="s">
        <v>771</v>
      </c>
      <c r="H1005" s="7" t="s">
        <v>436</v>
      </c>
      <c r="I1005" s="252">
        <v>315</v>
      </c>
      <c r="J1005" s="252">
        <v>19041</v>
      </c>
      <c r="K1005" s="38">
        <v>5997915</v>
      </c>
      <c r="L1005" s="194" t="s">
        <v>169</v>
      </c>
      <c r="M1005" s="616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606"/>
      <c r="AB1005" s="606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41071</v>
      </c>
      <c r="D1006" s="184" t="s">
        <v>770</v>
      </c>
      <c r="E1006" s="191">
        <v>41071</v>
      </c>
      <c r="F1006" s="192" t="s">
        <v>1324</v>
      </c>
      <c r="G1006" s="192" t="s">
        <v>771</v>
      </c>
      <c r="H1006" s="7" t="s">
        <v>436</v>
      </c>
      <c r="I1006" s="252">
        <v>268</v>
      </c>
      <c r="J1006" s="252">
        <v>21210</v>
      </c>
      <c r="K1006" s="38">
        <v>5684280</v>
      </c>
      <c r="L1006" s="194" t="s">
        <v>169</v>
      </c>
      <c r="M1006" s="616" t="s">
        <v>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606"/>
      <c r="AB1006" s="606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41071</v>
      </c>
      <c r="D1007" s="184" t="s">
        <v>770</v>
      </c>
      <c r="E1007" s="191">
        <v>41071</v>
      </c>
      <c r="F1007" s="192" t="s">
        <v>566</v>
      </c>
      <c r="G1007" s="490" t="s">
        <v>771</v>
      </c>
      <c r="H1007" s="7" t="s">
        <v>436</v>
      </c>
      <c r="I1007" s="252"/>
      <c r="J1007" s="252"/>
      <c r="K1007" s="38">
        <v>3228553</v>
      </c>
      <c r="L1007" s="194" t="s">
        <v>9</v>
      </c>
      <c r="M1007" s="616" t="s">
        <v>8</v>
      </c>
      <c r="N1007" s="52" t="str">
        <f>IF(AND('331-CT'!$E$7=TH!H1007,OR(L1007="331",M1007="331")),"331",IF(AND(OR(L1007="131",M1007="131"),H1007='131-CT'!$E$7),"131",""))</f>
        <v>331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198">
        <v>6</v>
      </c>
      <c r="AB1007" s="606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41071</v>
      </c>
      <c r="D1008" s="184" t="s">
        <v>772</v>
      </c>
      <c r="E1008" s="191">
        <v>41071</v>
      </c>
      <c r="F1008" s="192" t="s">
        <v>1425</v>
      </c>
      <c r="G1008" s="490" t="s">
        <v>773</v>
      </c>
      <c r="H1008" s="7" t="s">
        <v>436</v>
      </c>
      <c r="I1008" s="252">
        <v>140</v>
      </c>
      <c r="J1008" s="252">
        <v>12985</v>
      </c>
      <c r="K1008" s="38">
        <v>1817900</v>
      </c>
      <c r="L1008" s="194" t="s">
        <v>169</v>
      </c>
      <c r="M1008" s="616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606"/>
      <c r="AB1008" s="606"/>
    </row>
    <row r="1009" spans="1:30" ht="15.75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41071</v>
      </c>
      <c r="D1009" s="184" t="s">
        <v>772</v>
      </c>
      <c r="E1009" s="191">
        <v>41071</v>
      </c>
      <c r="F1009" s="192" t="s">
        <v>1444</v>
      </c>
      <c r="G1009" s="490" t="s">
        <v>773</v>
      </c>
      <c r="H1009" s="7" t="s">
        <v>436</v>
      </c>
      <c r="I1009" s="252">
        <v>105</v>
      </c>
      <c r="J1009" s="252">
        <v>17259</v>
      </c>
      <c r="K1009" s="38">
        <v>1812195</v>
      </c>
      <c r="L1009" s="194" t="s">
        <v>169</v>
      </c>
      <c r="M1009" s="616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606"/>
      <c r="AB1009" s="606"/>
    </row>
    <row r="1010" spans="1:30" ht="15.75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41071</v>
      </c>
      <c r="D1010" s="184" t="s">
        <v>772</v>
      </c>
      <c r="E1010" s="191">
        <v>41071</v>
      </c>
      <c r="F1010" s="192" t="s">
        <v>1445</v>
      </c>
      <c r="G1010" s="490" t="s">
        <v>773</v>
      </c>
      <c r="H1010" s="7" t="s">
        <v>436</v>
      </c>
      <c r="I1010" s="252">
        <v>440</v>
      </c>
      <c r="J1010" s="252">
        <v>23370</v>
      </c>
      <c r="K1010" s="38">
        <v>10282800</v>
      </c>
      <c r="L1010" s="194" t="s">
        <v>169</v>
      </c>
      <c r="M1010" s="616" t="s">
        <v>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211"/>
      <c r="AB1010" s="606"/>
    </row>
    <row r="1011" spans="1:30" ht="15.75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41071</v>
      </c>
      <c r="D1011" s="184" t="s">
        <v>772</v>
      </c>
      <c r="E1011" s="191">
        <v>41071</v>
      </c>
      <c r="F1011" s="192" t="s">
        <v>1391</v>
      </c>
      <c r="G1011" s="490" t="s">
        <v>773</v>
      </c>
      <c r="H1011" s="7" t="s">
        <v>436</v>
      </c>
      <c r="I1011" s="252">
        <v>205</v>
      </c>
      <c r="J1011" s="252">
        <v>13099</v>
      </c>
      <c r="K1011" s="38">
        <v>2685295</v>
      </c>
      <c r="L1011" s="194" t="s">
        <v>169</v>
      </c>
      <c r="M1011" s="616" t="s">
        <v>8</v>
      </c>
      <c r="N1011" s="52" t="str">
        <f>IF(AND('331-CT'!$E$7=TH!H1011,OR(L1011="331",M1011="331")),"331",IF(AND(OR(L1011="131",M1011="131"),H1011='131-CT'!$E$7),"131",""))</f>
        <v>331</v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606"/>
      <c r="AB1011" s="606"/>
    </row>
    <row r="1012" spans="1:30" ht="15.75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41071</v>
      </c>
      <c r="D1012" s="184" t="s">
        <v>772</v>
      </c>
      <c r="E1012" s="191">
        <v>41071</v>
      </c>
      <c r="F1012" s="192" t="s">
        <v>1396</v>
      </c>
      <c r="G1012" s="490" t="s">
        <v>773</v>
      </c>
      <c r="H1012" s="7" t="s">
        <v>436</v>
      </c>
      <c r="I1012" s="252">
        <v>380</v>
      </c>
      <c r="J1012" s="252">
        <v>19041</v>
      </c>
      <c r="K1012" s="38">
        <v>7235580</v>
      </c>
      <c r="L1012" s="194" t="s">
        <v>169</v>
      </c>
      <c r="M1012" s="616" t="s">
        <v>8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211"/>
      <c r="AB1012" s="606"/>
    </row>
    <row r="1013" spans="1:30" ht="15.75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41071</v>
      </c>
      <c r="D1013" s="184" t="s">
        <v>772</v>
      </c>
      <c r="E1013" s="191">
        <v>41071</v>
      </c>
      <c r="F1013" s="192" t="s">
        <v>1325</v>
      </c>
      <c r="G1013" s="192" t="s">
        <v>773</v>
      </c>
      <c r="H1013" s="7" t="s">
        <v>436</v>
      </c>
      <c r="I1013" s="252">
        <v>282</v>
      </c>
      <c r="J1013" s="252">
        <v>21210</v>
      </c>
      <c r="K1013" s="38">
        <v>5981220</v>
      </c>
      <c r="L1013" s="194" t="s">
        <v>169</v>
      </c>
      <c r="M1013" s="616" t="s">
        <v>8</v>
      </c>
      <c r="N1013" s="52" t="str">
        <f>IF(AND('331-CT'!$E$7=TH!H1013,OR(L1013="331",M1013="331")),"331",IF(AND(OR(L1013="131",M1013="131"),H1013='131-CT'!$E$7),"131",""))</f>
        <v>331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B1013" s="606"/>
    </row>
    <row r="1014" spans="1:30" ht="15.75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41071</v>
      </c>
      <c r="D1014" s="184" t="s">
        <v>772</v>
      </c>
      <c r="E1014" s="191">
        <v>41071</v>
      </c>
      <c r="F1014" s="192" t="s">
        <v>566</v>
      </c>
      <c r="G1014" s="490" t="s">
        <v>773</v>
      </c>
      <c r="H1014" s="7" t="s">
        <v>436</v>
      </c>
      <c r="I1014" s="252"/>
      <c r="J1014" s="252"/>
      <c r="K1014" s="38">
        <v>2981499</v>
      </c>
      <c r="L1014" s="194" t="s">
        <v>9</v>
      </c>
      <c r="M1014" s="616" t="s">
        <v>8</v>
      </c>
      <c r="N1014" s="52" t="str">
        <f>IF(AND('331-CT'!$E$7=TH!H1014,OR(L1014="331",M1014="331")),"331",IF(AND(OR(L1014="131",M1014="131"),H1014='131-CT'!$E$7),"131",""))</f>
        <v>331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f t="shared" ref="C1015:C1025" si="65">E1015</f>
        <v>41071</v>
      </c>
      <c r="D1015" s="191" t="s">
        <v>1634</v>
      </c>
      <c r="E1015" s="191">
        <v>41071</v>
      </c>
      <c r="F1015" s="189" t="s">
        <v>1145</v>
      </c>
      <c r="G1015" s="490" t="s">
        <v>1019</v>
      </c>
      <c r="H1015" s="193" t="s">
        <v>910</v>
      </c>
      <c r="I1015" s="252">
        <v>452</v>
      </c>
      <c r="J1015" s="252">
        <v>11020</v>
      </c>
      <c r="K1015" s="38">
        <f>ROUND(I1015*J1015,0)</f>
        <v>4981040</v>
      </c>
      <c r="L1015" s="194" t="s">
        <v>284</v>
      </c>
      <c r="M1015" s="194" t="s">
        <v>185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211"/>
      <c r="AB1015" s="211"/>
      <c r="AC1015" s="211"/>
      <c r="AD1015" s="211"/>
    </row>
    <row r="1016" spans="1:30" ht="15.75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f t="shared" si="65"/>
        <v>41071</v>
      </c>
      <c r="D1016" s="191" t="s">
        <v>1634</v>
      </c>
      <c r="E1016" s="191">
        <v>41071</v>
      </c>
      <c r="F1016" s="189" t="s">
        <v>1220</v>
      </c>
      <c r="G1016" s="490" t="s">
        <v>1019</v>
      </c>
      <c r="H1016" s="193" t="s">
        <v>910</v>
      </c>
      <c r="I1016" s="254">
        <v>180</v>
      </c>
      <c r="J1016" s="254">
        <v>7235</v>
      </c>
      <c r="K1016" s="38">
        <f>ROUND(I1016*J1016,0)</f>
        <v>1302300</v>
      </c>
      <c r="L1016" s="194" t="s">
        <v>284</v>
      </c>
      <c r="M1016" s="194" t="s">
        <v>185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211"/>
      <c r="AB1016" s="211"/>
      <c r="AC1016" s="211"/>
      <c r="AD1016" s="211"/>
    </row>
    <row r="1017" spans="1:30" ht="15.75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f t="shared" si="65"/>
        <v>41071</v>
      </c>
      <c r="D1017" s="191" t="s">
        <v>1634</v>
      </c>
      <c r="E1017" s="191">
        <v>41071</v>
      </c>
      <c r="F1017" s="192" t="s">
        <v>1150</v>
      </c>
      <c r="G1017" s="490" t="s">
        <v>1019</v>
      </c>
      <c r="H1017" s="193" t="s">
        <v>910</v>
      </c>
      <c r="I1017" s="254">
        <v>206</v>
      </c>
      <c r="J1017" s="254">
        <v>7235</v>
      </c>
      <c r="K1017" s="38">
        <f>ROUND(I1017*J1017,0)</f>
        <v>1490410</v>
      </c>
      <c r="L1017" s="194" t="s">
        <v>284</v>
      </c>
      <c r="M1017" s="194" t="s">
        <v>185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211"/>
      <c r="AB1017" s="211"/>
      <c r="AC1017" s="211"/>
      <c r="AD1017" s="211"/>
    </row>
    <row r="1018" spans="1:30" ht="15.75" customHeight="1">
      <c r="A1018" s="204" t="str">
        <f>IF(B1018&lt;&gt;"",IF(AND(B1018&gt;=_TM1,B1018&lt;=_TM2,OR(TH!L1018="1111",TH!M1018="1111")),TH!D1018,""),"")</f>
        <v/>
      </c>
      <c r="B1018" s="36">
        <f t="shared" si="64"/>
        <v>6</v>
      </c>
      <c r="C1018" s="191">
        <f t="shared" si="65"/>
        <v>41071</v>
      </c>
      <c r="D1018" s="191" t="s">
        <v>1634</v>
      </c>
      <c r="E1018" s="191">
        <v>41071</v>
      </c>
      <c r="F1018" s="192" t="s">
        <v>555</v>
      </c>
      <c r="G1018" s="490" t="s">
        <v>1019</v>
      </c>
      <c r="H1018" s="193" t="s">
        <v>910</v>
      </c>
      <c r="I1018" s="252"/>
      <c r="J1018" s="252"/>
      <c r="K1018" s="38">
        <v>777375</v>
      </c>
      <c r="L1018" s="194" t="s">
        <v>284</v>
      </c>
      <c r="M1018" s="194" t="s">
        <v>495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</row>
    <row r="1019" spans="1:30" ht="15.75" customHeight="1">
      <c r="A1019" s="204" t="str">
        <f>IF(B1019&lt;&gt;"",IF(AND(B1019&gt;=_TM1,B1019&lt;=_TM2,OR(TH!L1019="1111",TH!M1019="1111")),TH!D1019,""),"")</f>
        <v/>
      </c>
      <c r="B1019" s="36">
        <f t="shared" si="64"/>
        <v>6</v>
      </c>
      <c r="C1019" s="191">
        <f t="shared" si="65"/>
        <v>41071</v>
      </c>
      <c r="D1019" s="191" t="s">
        <v>1678</v>
      </c>
      <c r="E1019" s="191">
        <v>41071</v>
      </c>
      <c r="F1019" s="192" t="s">
        <v>365</v>
      </c>
      <c r="G1019" s="490" t="s">
        <v>1019</v>
      </c>
      <c r="H1019" s="193" t="s">
        <v>910</v>
      </c>
      <c r="I1019" s="252"/>
      <c r="J1019" s="252"/>
      <c r="K1019" s="38">
        <v>8551125</v>
      </c>
      <c r="L1019" s="194" t="s">
        <v>48</v>
      </c>
      <c r="M1019" s="194" t="s">
        <v>284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>x</v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</row>
    <row r="1020" spans="1:30" ht="15.75" customHeight="1">
      <c r="A1020" s="204" t="str">
        <f>IF(B1020&lt;&gt;"",IF(AND(B1020&gt;=_TM1,B1020&lt;=_TM2,OR(TH!L1020="1111",TH!M1020="1111")),TH!D1020,""),"")</f>
        <v/>
      </c>
      <c r="B1020" s="36">
        <f t="shared" si="64"/>
        <v>6</v>
      </c>
      <c r="C1020" s="184">
        <f t="shared" si="65"/>
        <v>41072</v>
      </c>
      <c r="D1020" s="184" t="s">
        <v>1675</v>
      </c>
      <c r="E1020" s="184">
        <v>41072</v>
      </c>
      <c r="F1020" s="192" t="s">
        <v>400</v>
      </c>
      <c r="G1020" s="617" t="s">
        <v>708</v>
      </c>
      <c r="H1020" s="7" t="s">
        <v>436</v>
      </c>
      <c r="I1020" s="252"/>
      <c r="J1020" s="252"/>
      <c r="K1020" s="615">
        <v>16304627</v>
      </c>
      <c r="L1020" s="616" t="s">
        <v>8</v>
      </c>
      <c r="M1020" s="616" t="s">
        <v>48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>x</v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C1020" s="849"/>
      <c r="AD1020" s="849"/>
    </row>
    <row r="1021" spans="1:30" ht="15.75" customHeight="1">
      <c r="A1021" s="204" t="str">
        <f>IF(B1021&lt;&gt;"",IF(AND(B1021&gt;=_TM1,B1021&lt;=_TM2,OR(TH!L1021="1111",TH!M1021="1111")),TH!D1021,""),"")</f>
        <v/>
      </c>
      <c r="B1021" s="36">
        <f t="shared" si="64"/>
        <v>6</v>
      </c>
      <c r="C1021" s="191">
        <f t="shared" si="65"/>
        <v>41072</v>
      </c>
      <c r="D1021" s="191" t="s">
        <v>1635</v>
      </c>
      <c r="E1021" s="191">
        <v>41072</v>
      </c>
      <c r="F1021" s="192" t="s">
        <v>1176</v>
      </c>
      <c r="G1021" s="490" t="s">
        <v>1020</v>
      </c>
      <c r="H1021" s="7" t="s">
        <v>632</v>
      </c>
      <c r="I1021" s="252">
        <v>2220</v>
      </c>
      <c r="J1021" s="252">
        <v>5500</v>
      </c>
      <c r="K1021" s="38">
        <f>ROUND(I1021*J1021,0)</f>
        <v>12210000</v>
      </c>
      <c r="L1021" s="194" t="s">
        <v>284</v>
      </c>
      <c r="M1021" s="194" t="s">
        <v>185</v>
      </c>
      <c r="N1021" s="52" t="str">
        <f>IF(AND('331-CT'!$E$7=TH!H1021,OR(L1021="331",M1021="331")),"331",IF(AND(OR(L1021="131",M1021="131"),H1021='131-CT'!$E$7),"131",""))</f>
        <v>131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211"/>
      <c r="AB1021" s="211"/>
      <c r="AC1021" s="211"/>
      <c r="AD1021" s="211"/>
    </row>
    <row r="1022" spans="1:30" ht="15.75" customHeight="1">
      <c r="A1022" s="204" t="str">
        <f>IF(B1022&lt;&gt;"",IF(AND(B1022&gt;=_TM1,B1022&lt;=_TM2,OR(TH!L1022="1111",TH!M1022="1111")),TH!D1022,""),"")</f>
        <v/>
      </c>
      <c r="B1022" s="36">
        <f t="shared" si="64"/>
        <v>6</v>
      </c>
      <c r="C1022" s="191">
        <f t="shared" si="65"/>
        <v>41072</v>
      </c>
      <c r="D1022" s="191" t="s">
        <v>1635</v>
      </c>
      <c r="E1022" s="191">
        <v>41072</v>
      </c>
      <c r="F1022" s="192" t="s">
        <v>555</v>
      </c>
      <c r="G1022" s="490" t="s">
        <v>1020</v>
      </c>
      <c r="H1022" s="7" t="s">
        <v>632</v>
      </c>
      <c r="I1022" s="252"/>
      <c r="J1022" s="252"/>
      <c r="K1022" s="38">
        <v>1221000</v>
      </c>
      <c r="L1022" s="194" t="s">
        <v>284</v>
      </c>
      <c r="M1022" s="194" t="s">
        <v>495</v>
      </c>
      <c r="N1022" s="52" t="str">
        <f>IF(AND('331-CT'!$E$7=TH!H1022,OR(L1022="331",M1022="331")),"331",IF(AND(OR(L1022="131",M1022="131"),H1022='131-CT'!$E$7),"131",""))</f>
        <v>131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</row>
    <row r="1023" spans="1:30" ht="15.75" customHeight="1">
      <c r="A1023" s="204" t="str">
        <f>IF(B1023&lt;&gt;"",IF(AND(B1023&gt;=_TM1,B1023&lt;=_TM2,OR(TH!L1023="1111",TH!M1023="1111")),TH!D1023,""),"")</f>
        <v/>
      </c>
      <c r="B1023" s="36">
        <f t="shared" si="64"/>
        <v>6</v>
      </c>
      <c r="C1023" s="191">
        <f t="shared" si="65"/>
        <v>41072</v>
      </c>
      <c r="D1023" s="191" t="s">
        <v>1636</v>
      </c>
      <c r="E1023" s="191">
        <v>41072</v>
      </c>
      <c r="F1023" s="192" t="s">
        <v>1175</v>
      </c>
      <c r="G1023" s="490" t="s">
        <v>1021</v>
      </c>
      <c r="H1023" s="193" t="s">
        <v>1022</v>
      </c>
      <c r="I1023" s="252">
        <v>1110</v>
      </c>
      <c r="J1023" s="252">
        <v>6170</v>
      </c>
      <c r="K1023" s="38">
        <f>ROUND(I1023*J1023,0)</f>
        <v>6848700</v>
      </c>
      <c r="L1023" s="194" t="s">
        <v>284</v>
      </c>
      <c r="M1023" s="194" t="s">
        <v>185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211"/>
      <c r="AB1023" s="211"/>
      <c r="AC1023" s="211"/>
      <c r="AD1023" s="211"/>
    </row>
    <row r="1024" spans="1:30" ht="15.75" customHeight="1">
      <c r="A1024" s="204" t="str">
        <f>IF(B1024&lt;&gt;"",IF(AND(B1024&gt;=_TM1,B1024&lt;=_TM2,OR(TH!L1024="1111",TH!M1024="1111")),TH!D1024,""),"")</f>
        <v/>
      </c>
      <c r="B1024" s="36">
        <f t="shared" si="64"/>
        <v>6</v>
      </c>
      <c r="C1024" s="191">
        <f t="shared" si="65"/>
        <v>41072</v>
      </c>
      <c r="D1024" s="191" t="s">
        <v>1636</v>
      </c>
      <c r="E1024" s="191">
        <v>41072</v>
      </c>
      <c r="F1024" s="192" t="s">
        <v>555</v>
      </c>
      <c r="G1024" s="490" t="s">
        <v>1021</v>
      </c>
      <c r="H1024" s="193" t="s">
        <v>1022</v>
      </c>
      <c r="I1024" s="252"/>
      <c r="J1024" s="252"/>
      <c r="K1024" s="38">
        <v>684870</v>
      </c>
      <c r="L1024" s="194" t="s">
        <v>284</v>
      </c>
      <c r="M1024" s="194" t="s">
        <v>495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</row>
    <row r="1025" spans="1:28" ht="15.75" customHeight="1">
      <c r="A1025" s="204" t="str">
        <f>IF(B1025&lt;&gt;"",IF(AND(B1025&gt;=_TM1,B1025&lt;=_TM2,OR(TH!L1025="1111",TH!M1025="1111")),TH!D1025,""),"")</f>
        <v/>
      </c>
      <c r="B1025" s="36">
        <f t="shared" si="64"/>
        <v>6</v>
      </c>
      <c r="C1025" s="191">
        <f t="shared" si="65"/>
        <v>41072</v>
      </c>
      <c r="D1025" s="191" t="s">
        <v>1680</v>
      </c>
      <c r="E1025" s="191">
        <v>41072</v>
      </c>
      <c r="F1025" s="192" t="s">
        <v>365</v>
      </c>
      <c r="G1025" s="490" t="s">
        <v>1021</v>
      </c>
      <c r="H1025" s="193" t="s">
        <v>1022</v>
      </c>
      <c r="I1025" s="252"/>
      <c r="J1025" s="252"/>
      <c r="K1025" s="38">
        <v>7533570</v>
      </c>
      <c r="L1025" s="194" t="s">
        <v>48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>x</v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28" ht="15.75" customHeight="1">
      <c r="A1026" s="204" t="str">
        <f>IF(B1026&lt;&gt;"",IF(AND(B1026&gt;=_TM1,B1026&lt;=_TM2,OR(TH!L1026="1111",TH!M1026="1111")),TH!D1026,""),"")</f>
        <v/>
      </c>
      <c r="B1026" s="36">
        <f t="shared" si="64"/>
        <v>6</v>
      </c>
      <c r="C1026" s="191">
        <v>41073</v>
      </c>
      <c r="D1026" s="191" t="s">
        <v>364</v>
      </c>
      <c r="E1026" s="191">
        <v>41073</v>
      </c>
      <c r="F1026" s="192" t="s">
        <v>400</v>
      </c>
      <c r="G1026" s="490" t="s">
        <v>361</v>
      </c>
      <c r="H1026" s="7" t="s">
        <v>436</v>
      </c>
      <c r="I1026" s="252"/>
      <c r="J1026" s="252"/>
      <c r="K1026" s="38">
        <v>70000000</v>
      </c>
      <c r="L1026" s="616" t="s">
        <v>8</v>
      </c>
      <c r="M1026" s="194" t="s">
        <v>24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>x</v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</row>
    <row r="1027" spans="1:28" ht="15.75" customHeight="1">
      <c r="A1027" s="204" t="str">
        <f>IF(B1027&lt;&gt;"",IF(AND(B1027&gt;=_TM1,B1027&lt;=_TM2,OR(TH!L1027="1111",TH!M1027="1111")),TH!D1027,""),"")</f>
        <v/>
      </c>
      <c r="B1027" s="36">
        <f t="shared" si="64"/>
        <v>6</v>
      </c>
      <c r="C1027" s="191">
        <v>41073</v>
      </c>
      <c r="D1027" s="191" t="s">
        <v>364</v>
      </c>
      <c r="E1027" s="191">
        <v>41073</v>
      </c>
      <c r="F1027" s="192" t="s">
        <v>366</v>
      </c>
      <c r="G1027" s="490" t="s">
        <v>361</v>
      </c>
      <c r="H1027" s="193"/>
      <c r="I1027" s="252"/>
      <c r="J1027" s="252"/>
      <c r="K1027" s="38">
        <v>35000</v>
      </c>
      <c r="L1027" s="194" t="s">
        <v>84</v>
      </c>
      <c r="M1027" s="194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>x</v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>642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</row>
    <row r="1028" spans="1:28" ht="15.75" customHeight="1">
      <c r="A1028" s="204" t="str">
        <f>IF(B1028&lt;&gt;"",IF(AND(B1028&gt;=_TM1,B1028&lt;=_TM2,OR(TH!L1028="1111",TH!M1028="1111")),TH!D1028,""),"")</f>
        <v/>
      </c>
      <c r="B1028" s="36">
        <f t="shared" si="64"/>
        <v>6</v>
      </c>
      <c r="C1028" s="191">
        <v>41073</v>
      </c>
      <c r="D1028" s="191" t="s">
        <v>1676</v>
      </c>
      <c r="E1028" s="191">
        <v>41073</v>
      </c>
      <c r="F1028" s="192" t="s">
        <v>774</v>
      </c>
      <c r="G1028" s="490" t="s">
        <v>775</v>
      </c>
      <c r="H1028" s="193" t="s">
        <v>401</v>
      </c>
      <c r="I1028" s="252"/>
      <c r="J1028" s="252"/>
      <c r="K1028" s="38">
        <v>1560000</v>
      </c>
      <c r="L1028" s="194" t="s">
        <v>175</v>
      </c>
      <c r="M1028" s="194" t="s">
        <v>48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>154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</row>
    <row r="1029" spans="1:28" ht="15.75" customHeight="1">
      <c r="A1029" s="204" t="str">
        <f>IF(B1029&lt;&gt;"",IF(AND(B1029&gt;=_TM1,B1029&lt;=_TM2,OR(TH!L1029="1111",TH!M1029="1111")),TH!D1029,""),"")</f>
        <v/>
      </c>
      <c r="B1029" s="36">
        <f t="shared" si="64"/>
        <v>6</v>
      </c>
      <c r="C1029" s="191">
        <v>41073</v>
      </c>
      <c r="D1029" s="191" t="s">
        <v>1676</v>
      </c>
      <c r="E1029" s="191">
        <v>41073</v>
      </c>
      <c r="F1029" s="192" t="s">
        <v>372</v>
      </c>
      <c r="G1029" s="192" t="s">
        <v>775</v>
      </c>
      <c r="H1029" s="210" t="s">
        <v>401</v>
      </c>
      <c r="I1029" s="252"/>
      <c r="J1029" s="252"/>
      <c r="K1029" s="38">
        <v>156000</v>
      </c>
      <c r="L1029" s="194" t="s">
        <v>9</v>
      </c>
      <c r="M1029" s="194" t="s">
        <v>48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</row>
    <row r="1030" spans="1:28" ht="15.75" customHeight="1">
      <c r="A1030" s="204" t="str">
        <f>IF(B1030&lt;&gt;"",IF(AND(B1030&gt;=_TM1,B1030&lt;=_TM2,OR(TH!L1030="1111",TH!M1030="1111")),TH!D1030,""),"")</f>
        <v/>
      </c>
      <c r="B1030" s="36">
        <f t="shared" si="64"/>
        <v>6</v>
      </c>
      <c r="C1030" s="191">
        <v>41073</v>
      </c>
      <c r="D1030" s="184" t="s">
        <v>776</v>
      </c>
      <c r="E1030" s="191">
        <v>41073</v>
      </c>
      <c r="F1030" s="192" t="s">
        <v>1326</v>
      </c>
      <c r="G1030" s="192" t="s">
        <v>777</v>
      </c>
      <c r="H1030" s="7" t="s">
        <v>436</v>
      </c>
      <c r="I1030" s="252">
        <v>100</v>
      </c>
      <c r="J1030" s="252">
        <v>16140</v>
      </c>
      <c r="K1030" s="38">
        <v>1614000</v>
      </c>
      <c r="L1030" s="194" t="s">
        <v>169</v>
      </c>
      <c r="M1030" s="616" t="s">
        <v>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B1030" s="606"/>
    </row>
    <row r="1031" spans="1:28" ht="15.75" customHeight="1">
      <c r="A1031" s="204" t="str">
        <f>IF(B1031&lt;&gt;"",IF(AND(B1031&gt;=_TM1,B1031&lt;=_TM2,OR(TH!L1031="1111",TH!M1031="1111")),TH!D1031,""),"")</f>
        <v/>
      </c>
      <c r="B1031" s="36">
        <f t="shared" si="64"/>
        <v>6</v>
      </c>
      <c r="C1031" s="191">
        <v>41073</v>
      </c>
      <c r="D1031" s="184" t="s">
        <v>776</v>
      </c>
      <c r="E1031" s="191">
        <v>41073</v>
      </c>
      <c r="F1031" s="192" t="s">
        <v>1327</v>
      </c>
      <c r="G1031" s="192" t="s">
        <v>777</v>
      </c>
      <c r="H1031" s="7" t="s">
        <v>436</v>
      </c>
      <c r="I1031" s="252">
        <v>250</v>
      </c>
      <c r="J1031" s="252">
        <v>19843</v>
      </c>
      <c r="K1031" s="38">
        <v>4960750</v>
      </c>
      <c r="L1031" s="194" t="s">
        <v>169</v>
      </c>
      <c r="M1031" s="616" t="s">
        <v>8</v>
      </c>
      <c r="N1031" s="52" t="str">
        <f>IF(AND('331-CT'!$E$7=TH!H1031,OR(L1031="331",M1031="331")),"331",IF(AND(OR(L1031="131",M1031="131"),H1031='131-CT'!$E$7),"131",""))</f>
        <v>331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B1031" s="606"/>
    </row>
    <row r="1032" spans="1:28" ht="15.75" customHeight="1">
      <c r="A1032" s="204" t="str">
        <f>IF(B1032&lt;&gt;"",IF(AND(B1032&gt;=_TM1,B1032&lt;=_TM2,OR(TH!L1032="1111",TH!M1032="1111")),TH!D1032,""),"")</f>
        <v/>
      </c>
      <c r="B1032" s="36">
        <f t="shared" si="64"/>
        <v>6</v>
      </c>
      <c r="C1032" s="191">
        <v>41073</v>
      </c>
      <c r="D1032" s="184" t="s">
        <v>776</v>
      </c>
      <c r="E1032" s="191">
        <v>41073</v>
      </c>
      <c r="F1032" s="192" t="s">
        <v>566</v>
      </c>
      <c r="G1032" s="490" t="s">
        <v>777</v>
      </c>
      <c r="H1032" s="7" t="s">
        <v>436</v>
      </c>
      <c r="I1032" s="252"/>
      <c r="J1032" s="252"/>
      <c r="K1032" s="38">
        <v>657475</v>
      </c>
      <c r="L1032" s="194" t="s">
        <v>9</v>
      </c>
      <c r="M1032" s="616" t="s">
        <v>8</v>
      </c>
      <c r="N1032" s="52" t="str">
        <f>IF(AND('331-CT'!$E$7=TH!H1032,OR(L1032="331",M1032="331")),"331",IF(AND(OR(L1032="131",M1032="131"),H1032='131-CT'!$E$7),"131",""))</f>
        <v>331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>
        <v>6</v>
      </c>
    </row>
    <row r="1033" spans="1:28" ht="15.75" customHeight="1">
      <c r="A1033" s="204" t="str">
        <f>IF(B1033&lt;&gt;"",IF(AND(B1033&gt;=_TM1,B1033&lt;=_TM2,OR(TH!L1033="1111",TH!M1033="1111")),TH!D1033,""),"")</f>
        <v/>
      </c>
      <c r="B1033" s="36">
        <f t="shared" si="64"/>
        <v>6</v>
      </c>
      <c r="C1033" s="191">
        <v>41073</v>
      </c>
      <c r="D1033" s="184" t="s">
        <v>1677</v>
      </c>
      <c r="E1033" s="191">
        <v>41073</v>
      </c>
      <c r="F1033" s="192" t="s">
        <v>400</v>
      </c>
      <c r="G1033" s="490" t="s">
        <v>777</v>
      </c>
      <c r="H1033" s="7" t="s">
        <v>436</v>
      </c>
      <c r="I1033" s="252"/>
      <c r="J1033" s="252"/>
      <c r="K1033" s="38">
        <v>7232225</v>
      </c>
      <c r="L1033" s="616" t="s">
        <v>8</v>
      </c>
      <c r="M1033" s="616" t="s">
        <v>48</v>
      </c>
      <c r="N1033" s="52" t="str">
        <f>IF(AND('331-CT'!$E$7=TH!H1033,OR(L1033="331",M1033="331")),"331",IF(AND(OR(L1033="131",M1033="131"),H1033='131-CT'!$E$7),"131",""))</f>
        <v>331</v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28" ht="15.75" customHeight="1">
      <c r="A1034" s="204" t="str">
        <f>IF(B1034&lt;&gt;"",IF(AND(B1034&gt;=_TM1,B1034&lt;=_TM2,OR(TH!L1034="1111",TH!M1034="1111")),TH!D1034,""),"")</f>
        <v/>
      </c>
      <c r="B1034" s="36">
        <f t="shared" si="64"/>
        <v>6</v>
      </c>
      <c r="C1034" s="191">
        <v>41075</v>
      </c>
      <c r="D1034" s="191" t="s">
        <v>363</v>
      </c>
      <c r="E1034" s="191">
        <v>41075</v>
      </c>
      <c r="F1034" s="192" t="s">
        <v>365</v>
      </c>
      <c r="G1034" s="490" t="s">
        <v>361</v>
      </c>
      <c r="H1034" s="7" t="s">
        <v>497</v>
      </c>
      <c r="I1034" s="252"/>
      <c r="J1034" s="252"/>
      <c r="K1034" s="38">
        <v>20000000</v>
      </c>
      <c r="L1034" s="194" t="s">
        <v>24</v>
      </c>
      <c r="M1034" s="194" t="s">
        <v>284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28" ht="15.75" customHeight="1">
      <c r="A1035" s="204" t="str">
        <f>IF(B1035&lt;&gt;"",IF(AND(B1035&gt;=_TM1,B1035&lt;=_TM2,OR(TH!L1035="1111",TH!M1035="1111")),TH!D1035,""),"")</f>
        <v/>
      </c>
      <c r="B1035" s="36">
        <f t="shared" si="64"/>
        <v>6</v>
      </c>
      <c r="C1035" s="191">
        <v>41076</v>
      </c>
      <c r="D1035" s="184" t="s">
        <v>778</v>
      </c>
      <c r="E1035" s="191">
        <v>41076</v>
      </c>
      <c r="F1035" s="192" t="s">
        <v>1298</v>
      </c>
      <c r="G1035" s="490" t="s">
        <v>779</v>
      </c>
      <c r="H1035" s="7" t="s">
        <v>436</v>
      </c>
      <c r="I1035" s="252">
        <v>500</v>
      </c>
      <c r="J1035" s="252">
        <v>18306</v>
      </c>
      <c r="K1035" s="38">
        <v>9153000</v>
      </c>
      <c r="L1035" s="194" t="s">
        <v>169</v>
      </c>
      <c r="M1035" s="616" t="s">
        <v>8</v>
      </c>
      <c r="N1035" s="52" t="str">
        <f>IF(AND('331-CT'!$E$7=TH!H1035,OR(L1035="331",M1035="331")),"331",IF(AND(OR(L1035="131",M1035="131"),H1035='131-CT'!$E$7),"131",""))</f>
        <v>331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B1035" s="606"/>
    </row>
    <row r="1036" spans="1:28" ht="15.75" customHeight="1">
      <c r="A1036" s="204" t="str">
        <f>IF(B1036&lt;&gt;"",IF(AND(B1036&gt;=_TM1,B1036&lt;=_TM2,OR(TH!L1036="1111",TH!M1036="1111")),TH!D1036,""),"")</f>
        <v/>
      </c>
      <c r="B1036" s="36">
        <f t="shared" si="64"/>
        <v>6</v>
      </c>
      <c r="C1036" s="191">
        <v>41076</v>
      </c>
      <c r="D1036" s="184" t="s">
        <v>778</v>
      </c>
      <c r="E1036" s="191">
        <v>41076</v>
      </c>
      <c r="F1036" s="192" t="s">
        <v>566</v>
      </c>
      <c r="G1036" s="490" t="s">
        <v>779</v>
      </c>
      <c r="H1036" s="7" t="s">
        <v>436</v>
      </c>
      <c r="I1036" s="252"/>
      <c r="J1036" s="252"/>
      <c r="K1036" s="38">
        <v>915300</v>
      </c>
      <c r="L1036" s="194" t="s">
        <v>9</v>
      </c>
      <c r="M1036" s="616" t="s">
        <v>8</v>
      </c>
      <c r="N1036" s="52" t="str">
        <f>IF(AND('331-CT'!$E$7=TH!H1036,OR(L1036="331",M1036="331")),"331",IF(AND(OR(L1036="131",M1036="131"),H1036='131-CT'!$E$7),"131",""))</f>
        <v>331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198">
        <v>6</v>
      </c>
    </row>
    <row r="1037" spans="1:28" ht="15.75" customHeight="1">
      <c r="A1037" s="204" t="str">
        <f>IF(B1037&lt;&gt;"",IF(AND(B1037&gt;=_TM1,B1037&lt;=_TM2,OR(TH!L1037="1111",TH!M1037="1111")),TH!D1037,""),"")</f>
        <v/>
      </c>
      <c r="B1037" s="36">
        <f t="shared" si="64"/>
        <v>6</v>
      </c>
      <c r="C1037" s="191">
        <v>41076</v>
      </c>
      <c r="D1037" s="184" t="s">
        <v>1679</v>
      </c>
      <c r="E1037" s="191">
        <v>41076</v>
      </c>
      <c r="F1037" s="192" t="s">
        <v>400</v>
      </c>
      <c r="G1037" s="490" t="s">
        <v>779</v>
      </c>
      <c r="H1037" s="7" t="s">
        <v>436</v>
      </c>
      <c r="I1037" s="252"/>
      <c r="J1037" s="252"/>
      <c r="K1037" s="38">
        <f>K1035+K1036</f>
        <v>10068300</v>
      </c>
      <c r="L1037" s="616" t="s">
        <v>8</v>
      </c>
      <c r="M1037" s="616" t="s">
        <v>48</v>
      </c>
      <c r="N1037" s="52" t="str">
        <f>IF(AND('331-CT'!$E$7=TH!H1037,OR(L1037="331",M1037="331")),"331",IF(AND(OR(L1037="131",M1037="131"),H1037='131-CT'!$E$7),"131",""))</f>
        <v>331</v>
      </c>
      <c r="O1037" s="52" t="str">
        <f>IF(AND($B1037&gt;='111'!$N$11,$B1037&lt;='111'!$O$11,OR($L1037=$O$7,$M1037=$O$7)),"x","")</f>
        <v>x</v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</row>
    <row r="1038" spans="1:28" ht="15.75" customHeight="1">
      <c r="A1038" s="204" t="str">
        <f>IF(B1038&lt;&gt;"",IF(AND(B1038&gt;=_TM1,B1038&lt;=_TM2,OR(TH!L1038="1111",TH!M1038="1111")),TH!D1038,""),"")</f>
        <v/>
      </c>
      <c r="B1038" s="36">
        <f t="shared" si="64"/>
        <v>6</v>
      </c>
      <c r="C1038" s="191">
        <v>41078</v>
      </c>
      <c r="D1038" s="184" t="s">
        <v>1681</v>
      </c>
      <c r="E1038" s="191">
        <v>41078</v>
      </c>
      <c r="F1038" s="192" t="s">
        <v>396</v>
      </c>
      <c r="G1038" s="490" t="s">
        <v>361</v>
      </c>
      <c r="H1038" s="193" t="s">
        <v>684</v>
      </c>
      <c r="I1038" s="252"/>
      <c r="J1038" s="252"/>
      <c r="K1038" s="38">
        <v>50000000</v>
      </c>
      <c r="L1038" s="194" t="s">
        <v>24</v>
      </c>
      <c r="M1038" s="194" t="s">
        <v>48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>x</v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</row>
    <row r="1039" spans="1:28" ht="15.75" customHeight="1">
      <c r="A1039" s="204" t="str">
        <f>IF(B1039&lt;&gt;"",IF(AND(B1039&gt;=_TM1,B1039&lt;=_TM2,OR(TH!L1039="1111",TH!M1039="1111")),TH!D1039,""),"")</f>
        <v/>
      </c>
      <c r="B1039" s="36">
        <f t="shared" si="64"/>
        <v>6</v>
      </c>
      <c r="C1039" s="191">
        <v>41078</v>
      </c>
      <c r="D1039" s="191" t="s">
        <v>364</v>
      </c>
      <c r="E1039" s="191">
        <v>41078</v>
      </c>
      <c r="F1039" s="192" t="s">
        <v>400</v>
      </c>
      <c r="G1039" s="490" t="s">
        <v>361</v>
      </c>
      <c r="H1039" s="7" t="s">
        <v>436</v>
      </c>
      <c r="I1039" s="252"/>
      <c r="J1039" s="252"/>
      <c r="K1039" s="38">
        <v>73770000</v>
      </c>
      <c r="L1039" s="616" t="s">
        <v>8</v>
      </c>
      <c r="M1039" s="194" t="s">
        <v>24</v>
      </c>
      <c r="N1039" s="52" t="str">
        <f>IF(AND('331-CT'!$E$7=TH!H1039,OR(L1039="331",M1039="331")),"331",IF(AND(OR(L1039="131",M1039="131"),H1039='131-CT'!$E$7),"131",""))</f>
        <v>331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>x</v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</row>
    <row r="1040" spans="1:28" ht="15.75" customHeight="1">
      <c r="A1040" s="204" t="str">
        <f>IF(B1040&lt;&gt;"",IF(AND(B1040&gt;=_TM1,B1040&lt;=_TM2,OR(TH!L1040="1111",TH!M1040="1111")),TH!D1040,""),"")</f>
        <v/>
      </c>
      <c r="B1040" s="36">
        <f t="shared" si="64"/>
        <v>6</v>
      </c>
      <c r="C1040" s="191">
        <v>41078</v>
      </c>
      <c r="D1040" s="191" t="s">
        <v>364</v>
      </c>
      <c r="E1040" s="191">
        <v>41078</v>
      </c>
      <c r="F1040" s="192" t="s">
        <v>366</v>
      </c>
      <c r="G1040" s="490" t="s">
        <v>361</v>
      </c>
      <c r="H1040" s="193"/>
      <c r="I1040" s="252"/>
      <c r="J1040" s="252"/>
      <c r="K1040" s="38">
        <v>34404</v>
      </c>
      <c r="L1040" s="194" t="s">
        <v>84</v>
      </c>
      <c r="M1040" s="194" t="s">
        <v>24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>x</v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>642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ht="15.75" customHeight="1">
      <c r="A1041" s="204" t="str">
        <f>IF(B1041&lt;&gt;"",IF(AND(B1041&gt;=_TM1,B1041&lt;=_TM2,OR(TH!L1041="1111",TH!M1041="1111")),TH!D1041,""),"")</f>
        <v/>
      </c>
      <c r="B1041" s="36">
        <f t="shared" si="64"/>
        <v>6</v>
      </c>
      <c r="C1041" s="191">
        <v>41078</v>
      </c>
      <c r="D1041" s="191" t="s">
        <v>364</v>
      </c>
      <c r="E1041" s="191">
        <v>41078</v>
      </c>
      <c r="F1041" s="192" t="s">
        <v>366</v>
      </c>
      <c r="G1041" s="490" t="s">
        <v>361</v>
      </c>
      <c r="H1041" s="193"/>
      <c r="I1041" s="252"/>
      <c r="J1041" s="252"/>
      <c r="K1041" s="38">
        <v>2481</v>
      </c>
      <c r="L1041" s="194" t="s">
        <v>9</v>
      </c>
      <c r="M1041" s="194" t="s">
        <v>24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>x</v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>
        <v>6</v>
      </c>
    </row>
    <row r="1042" spans="1:30" ht="15.75" customHeight="1">
      <c r="A1042" s="204" t="str">
        <f>IF(B1042&lt;&gt;"",IF(AND(B1042&gt;=_TM1,B1042&lt;=_TM2,OR(TH!L1042="1111",TH!M1042="1111")),TH!D1042,""),"")</f>
        <v/>
      </c>
      <c r="B1042" s="36">
        <f t="shared" si="64"/>
        <v>6</v>
      </c>
      <c r="C1042" s="191">
        <v>41078</v>
      </c>
      <c r="D1042" s="191" t="s">
        <v>364</v>
      </c>
      <c r="E1042" s="191">
        <v>41078</v>
      </c>
      <c r="F1042" s="192" t="s">
        <v>730</v>
      </c>
      <c r="G1042" s="490" t="s">
        <v>361</v>
      </c>
      <c r="H1042" s="193"/>
      <c r="I1042" s="252"/>
      <c r="J1042" s="252"/>
      <c r="K1042" s="38">
        <v>13390</v>
      </c>
      <c r="L1042" s="194" t="s">
        <v>84</v>
      </c>
      <c r="M1042" s="194" t="s">
        <v>24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>x</v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>642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</row>
    <row r="1043" spans="1:30" ht="15.75" customHeight="1">
      <c r="A1043" s="204" t="str">
        <f>IF(B1043&lt;&gt;"",IF(AND(B1043&gt;=_TM1,B1043&lt;=_TM2,OR(TH!L1043="1111",TH!M1043="1111")),TH!D1043,""),"")</f>
        <v/>
      </c>
      <c r="B1043" s="36">
        <f t="shared" si="64"/>
        <v>6</v>
      </c>
      <c r="C1043" s="191">
        <v>41078</v>
      </c>
      <c r="D1043" s="191" t="s">
        <v>364</v>
      </c>
      <c r="E1043" s="191">
        <v>41078</v>
      </c>
      <c r="F1043" s="192" t="s">
        <v>1579</v>
      </c>
      <c r="G1043" s="490" t="s">
        <v>361</v>
      </c>
      <c r="H1043" s="193"/>
      <c r="I1043" s="252"/>
      <c r="J1043" s="252"/>
      <c r="K1043" s="38">
        <v>1339</v>
      </c>
      <c r="L1043" s="194" t="s">
        <v>9</v>
      </c>
      <c r="M1043" s="194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>x</v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6</v>
      </c>
    </row>
    <row r="1044" spans="1:30" ht="15.75" customHeight="1">
      <c r="A1044" s="204" t="str">
        <f>IF(B1044&lt;&gt;"",IF(AND(B1044&gt;=_TM1,B1044&lt;=_TM2,OR(TH!L1044="1111",TH!M1044="1111")),TH!D1044,""),"")</f>
        <v/>
      </c>
      <c r="B1044" s="36">
        <f t="shared" si="64"/>
        <v>6</v>
      </c>
      <c r="C1044" s="191">
        <v>41080</v>
      </c>
      <c r="D1044" s="191" t="s">
        <v>1682</v>
      </c>
      <c r="E1044" s="191">
        <v>41080</v>
      </c>
      <c r="F1044" s="192" t="s">
        <v>780</v>
      </c>
      <c r="G1044" s="490" t="s">
        <v>781</v>
      </c>
      <c r="H1044" s="193" t="s">
        <v>401</v>
      </c>
      <c r="I1044" s="254"/>
      <c r="J1044" s="254"/>
      <c r="K1044" s="38">
        <v>2920000</v>
      </c>
      <c r="L1044" s="194" t="s">
        <v>175</v>
      </c>
      <c r="M1044" s="194" t="s">
        <v>48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>x</v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>154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</row>
    <row r="1045" spans="1:30" ht="15.75" customHeight="1">
      <c r="A1045" s="204" t="str">
        <f>IF(B1045&lt;&gt;"",IF(AND(B1045&gt;=_TM1,B1045&lt;=_TM2,OR(TH!L1045="1111",TH!M1045="1111")),TH!D1045,""),"")</f>
        <v/>
      </c>
      <c r="B1045" s="36">
        <f t="shared" ref="B1045:B1108" si="66">IF(C1045&lt;&gt;"",MONTH(C1045),"")</f>
        <v>6</v>
      </c>
      <c r="C1045" s="191">
        <v>41080</v>
      </c>
      <c r="D1045" s="191" t="s">
        <v>1682</v>
      </c>
      <c r="E1045" s="191">
        <v>41080</v>
      </c>
      <c r="F1045" s="192" t="s">
        <v>372</v>
      </c>
      <c r="G1045" s="490" t="s">
        <v>781</v>
      </c>
      <c r="H1045" s="193" t="s">
        <v>401</v>
      </c>
      <c r="I1045" s="252"/>
      <c r="J1045" s="252"/>
      <c r="K1045" s="38">
        <v>292000</v>
      </c>
      <c r="L1045" s="194" t="s">
        <v>175</v>
      </c>
      <c r="M1045" s="194" t="s">
        <v>48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>x</v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>154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</row>
    <row r="1046" spans="1:30" ht="15.75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41081</v>
      </c>
      <c r="D1046" s="184" t="s">
        <v>782</v>
      </c>
      <c r="E1046" s="191">
        <v>41081</v>
      </c>
      <c r="F1046" s="192" t="s">
        <v>1328</v>
      </c>
      <c r="G1046" s="490" t="s">
        <v>783</v>
      </c>
      <c r="H1046" s="7" t="s">
        <v>436</v>
      </c>
      <c r="I1046" s="252">
        <v>60</v>
      </c>
      <c r="J1046" s="252">
        <v>25149</v>
      </c>
      <c r="K1046" s="38">
        <v>1508940</v>
      </c>
      <c r="L1046" s="194" t="s">
        <v>169</v>
      </c>
      <c r="M1046" s="616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B1046" s="606"/>
    </row>
    <row r="1047" spans="1:30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41081</v>
      </c>
      <c r="D1047" s="184" t="s">
        <v>782</v>
      </c>
      <c r="E1047" s="191">
        <v>41081</v>
      </c>
      <c r="F1047" s="192" t="s">
        <v>1309</v>
      </c>
      <c r="G1047" s="490" t="s">
        <v>783</v>
      </c>
      <c r="H1047" s="7" t="s">
        <v>436</v>
      </c>
      <c r="I1047" s="252">
        <v>1050</v>
      </c>
      <c r="J1047" s="252">
        <v>22301</v>
      </c>
      <c r="K1047" s="38">
        <v>23416050</v>
      </c>
      <c r="L1047" s="194" t="s">
        <v>169</v>
      </c>
      <c r="M1047" s="616" t="s">
        <v>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606"/>
      <c r="AC1047" s="198"/>
      <c r="AD1047" s="198"/>
    </row>
    <row r="1048" spans="1:30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41081</v>
      </c>
      <c r="D1048" s="184" t="s">
        <v>782</v>
      </c>
      <c r="E1048" s="191">
        <v>41081</v>
      </c>
      <c r="F1048" s="192" t="s">
        <v>1329</v>
      </c>
      <c r="G1048" s="490" t="s">
        <v>783</v>
      </c>
      <c r="H1048" s="7" t="s">
        <v>436</v>
      </c>
      <c r="I1048" s="252">
        <v>500</v>
      </c>
      <c r="J1048" s="252">
        <v>23028</v>
      </c>
      <c r="K1048" s="38">
        <v>11514000</v>
      </c>
      <c r="L1048" s="194" t="s">
        <v>169</v>
      </c>
      <c r="M1048" s="616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6"/>
      <c r="AC1048" s="198"/>
      <c r="AD1048" s="198"/>
    </row>
    <row r="1049" spans="1:30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41081</v>
      </c>
      <c r="D1049" s="184" t="s">
        <v>782</v>
      </c>
      <c r="E1049" s="191">
        <v>41081</v>
      </c>
      <c r="F1049" s="192" t="s">
        <v>566</v>
      </c>
      <c r="G1049" s="490" t="s">
        <v>783</v>
      </c>
      <c r="H1049" s="7" t="s">
        <v>436</v>
      </c>
      <c r="I1049" s="252"/>
      <c r="J1049" s="252"/>
      <c r="K1049" s="38">
        <v>3643899</v>
      </c>
      <c r="L1049" s="194" t="s">
        <v>9</v>
      </c>
      <c r="M1049" s="616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>
        <v>6</v>
      </c>
      <c r="AB1049" s="198"/>
      <c r="AC1049" s="198"/>
      <c r="AD1049" s="198"/>
    </row>
    <row r="1050" spans="1:30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f>E1050</f>
        <v>41081</v>
      </c>
      <c r="D1050" s="184" t="s">
        <v>1684</v>
      </c>
      <c r="E1050" s="191">
        <v>41081</v>
      </c>
      <c r="F1050" s="192" t="s">
        <v>400</v>
      </c>
      <c r="G1050" s="490" t="s">
        <v>783</v>
      </c>
      <c r="H1050" s="7" t="s">
        <v>436</v>
      </c>
      <c r="I1050" s="252"/>
      <c r="J1050" s="252"/>
      <c r="K1050" s="38">
        <v>15500000</v>
      </c>
      <c r="L1050" s="616" t="s">
        <v>8</v>
      </c>
      <c r="M1050" s="616" t="s">
        <v>48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>x</v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198"/>
      <c r="AC1050" s="198"/>
      <c r="AD1050" s="198"/>
    </row>
    <row r="1051" spans="1:30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41082</v>
      </c>
      <c r="D1051" s="191" t="s">
        <v>363</v>
      </c>
      <c r="E1051" s="191">
        <v>41082</v>
      </c>
      <c r="F1051" s="192" t="s">
        <v>365</v>
      </c>
      <c r="G1051" s="490" t="s">
        <v>361</v>
      </c>
      <c r="H1051" s="852" t="s">
        <v>762</v>
      </c>
      <c r="I1051" s="254"/>
      <c r="J1051" s="254"/>
      <c r="K1051" s="38">
        <v>24783880</v>
      </c>
      <c r="L1051" s="194" t="s">
        <v>24</v>
      </c>
      <c r="M1051" s="194" t="s">
        <v>284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>x</v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198"/>
      <c r="AC1051" s="198"/>
      <c r="AD1051" s="198"/>
    </row>
    <row r="1052" spans="1:30" ht="15.75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41082</v>
      </c>
      <c r="D1052" s="191" t="s">
        <v>363</v>
      </c>
      <c r="E1052" s="191">
        <v>41082</v>
      </c>
      <c r="F1052" s="192" t="s">
        <v>365</v>
      </c>
      <c r="G1052" s="490" t="s">
        <v>361</v>
      </c>
      <c r="H1052" s="7" t="s">
        <v>500</v>
      </c>
      <c r="I1052" s="252"/>
      <c r="J1052" s="252"/>
      <c r="K1052" s="38">
        <v>7681674</v>
      </c>
      <c r="L1052" s="194" t="s">
        <v>24</v>
      </c>
      <c r="M1052" s="194" t="s">
        <v>284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>x</v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</row>
    <row r="1053" spans="1:30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41082</v>
      </c>
      <c r="D1053" s="184" t="s">
        <v>784</v>
      </c>
      <c r="E1053" s="191">
        <v>41082</v>
      </c>
      <c r="F1053" s="192" t="s">
        <v>1446</v>
      </c>
      <c r="G1053" s="192" t="s">
        <v>785</v>
      </c>
      <c r="H1053" s="7" t="s">
        <v>436</v>
      </c>
      <c r="I1053" s="252">
        <v>250</v>
      </c>
      <c r="J1053" s="252">
        <v>10290</v>
      </c>
      <c r="K1053" s="38">
        <v>2572500</v>
      </c>
      <c r="L1053" s="194" t="s">
        <v>169</v>
      </c>
      <c r="M1053" s="616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198"/>
      <c r="AB1053" s="606"/>
      <c r="AC1053" s="198"/>
      <c r="AD1053" s="198"/>
    </row>
    <row r="1054" spans="1:30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41082</v>
      </c>
      <c r="D1054" s="184" t="s">
        <v>784</v>
      </c>
      <c r="E1054" s="191">
        <v>41082</v>
      </c>
      <c r="F1054" s="192" t="s">
        <v>1330</v>
      </c>
      <c r="G1054" s="192" t="s">
        <v>785</v>
      </c>
      <c r="H1054" s="7" t="s">
        <v>436</v>
      </c>
      <c r="I1054" s="252">
        <v>250</v>
      </c>
      <c r="J1054" s="252">
        <v>18673</v>
      </c>
      <c r="K1054" s="38">
        <v>4668250</v>
      </c>
      <c r="L1054" s="194" t="s">
        <v>169</v>
      </c>
      <c r="M1054" s="616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6"/>
      <c r="AC1054" s="198"/>
      <c r="AD1054" s="198"/>
    </row>
    <row r="1055" spans="1:30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41082</v>
      </c>
      <c r="D1055" s="184" t="s">
        <v>784</v>
      </c>
      <c r="E1055" s="191">
        <v>41082</v>
      </c>
      <c r="F1055" s="192" t="s">
        <v>1331</v>
      </c>
      <c r="G1055" s="192" t="s">
        <v>785</v>
      </c>
      <c r="H1055" s="7" t="s">
        <v>436</v>
      </c>
      <c r="I1055" s="252">
        <v>100</v>
      </c>
      <c r="J1055" s="252">
        <v>18443</v>
      </c>
      <c r="K1055" s="38">
        <v>1844300</v>
      </c>
      <c r="L1055" s="194" t="s">
        <v>169</v>
      </c>
      <c r="M1055" s="616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6"/>
      <c r="AC1055" s="198"/>
      <c r="AD1055" s="198"/>
    </row>
    <row r="1056" spans="1:30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41082</v>
      </c>
      <c r="D1056" s="184" t="s">
        <v>784</v>
      </c>
      <c r="E1056" s="191">
        <v>41082</v>
      </c>
      <c r="F1056" s="192" t="s">
        <v>566</v>
      </c>
      <c r="G1056" s="192" t="s">
        <v>785</v>
      </c>
      <c r="H1056" s="7" t="s">
        <v>436</v>
      </c>
      <c r="I1056" s="252"/>
      <c r="J1056" s="252"/>
      <c r="K1056" s="38">
        <v>908505</v>
      </c>
      <c r="L1056" s="194" t="s">
        <v>9</v>
      </c>
      <c r="M1056" s="616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v>41082</v>
      </c>
      <c r="D1057" s="184" t="s">
        <v>1685</v>
      </c>
      <c r="E1057" s="191">
        <v>41082</v>
      </c>
      <c r="F1057" s="192" t="s">
        <v>400</v>
      </c>
      <c r="G1057" s="192" t="s">
        <v>785</v>
      </c>
      <c r="H1057" s="7" t="s">
        <v>436</v>
      </c>
      <c r="I1057" s="252"/>
      <c r="J1057" s="252"/>
      <c r="K1057" s="38">
        <v>9993555</v>
      </c>
      <c r="L1057" s="616" t="s">
        <v>8</v>
      </c>
      <c r="M1057" s="616" t="s">
        <v>48</v>
      </c>
      <c r="N1057" s="52" t="str">
        <f>IF(AND('331-CT'!$E$7=TH!H1057,OR(L1057="331",M1057="331")),"331",IF(AND(OR(L1057="131",M1057="131"),H1057='131-CT'!$E$7),"131",""))</f>
        <v>331</v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198"/>
      <c r="AB1057" s="198"/>
      <c r="AC1057" s="198"/>
      <c r="AD1057" s="198"/>
    </row>
    <row r="1058" spans="1:30" ht="15.75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>E1058</f>
        <v>41083</v>
      </c>
      <c r="D1058" s="191" t="s">
        <v>1637</v>
      </c>
      <c r="E1058" s="191">
        <v>41083</v>
      </c>
      <c r="F1058" s="192" t="s">
        <v>1174</v>
      </c>
      <c r="G1058" s="490" t="s">
        <v>1023</v>
      </c>
      <c r="H1058" s="193" t="s">
        <v>1022</v>
      </c>
      <c r="I1058" s="252">
        <v>1010</v>
      </c>
      <c r="J1058" s="252">
        <v>6800</v>
      </c>
      <c r="K1058" s="38">
        <f>ROUND(I1058*J1058,0)</f>
        <v>6868000</v>
      </c>
      <c r="L1058" s="194" t="s">
        <v>284</v>
      </c>
      <c r="M1058" s="194" t="s">
        <v>185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211"/>
      <c r="AB1058" s="211"/>
      <c r="AC1058" s="211"/>
      <c r="AD1058" s="211"/>
    </row>
    <row r="1059" spans="1:30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>E1059</f>
        <v>41083</v>
      </c>
      <c r="D1059" s="191" t="s">
        <v>1637</v>
      </c>
      <c r="E1059" s="191">
        <v>41083</v>
      </c>
      <c r="F1059" s="192" t="s">
        <v>555</v>
      </c>
      <c r="G1059" s="490" t="s">
        <v>1023</v>
      </c>
      <c r="H1059" s="193" t="s">
        <v>1022</v>
      </c>
      <c r="I1059" s="252"/>
      <c r="J1059" s="252"/>
      <c r="K1059" s="38">
        <v>686800</v>
      </c>
      <c r="L1059" s="194" t="s">
        <v>284</v>
      </c>
      <c r="M1059" s="194" t="s">
        <v>495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ht="15.75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>E1060</f>
        <v>41083</v>
      </c>
      <c r="D1060" s="191" t="s">
        <v>1689</v>
      </c>
      <c r="E1060" s="191">
        <v>41083</v>
      </c>
      <c r="F1060" s="192" t="s">
        <v>365</v>
      </c>
      <c r="G1060" s="490" t="s">
        <v>1023</v>
      </c>
      <c r="H1060" s="193" t="s">
        <v>1022</v>
      </c>
      <c r="I1060" s="252"/>
      <c r="J1060" s="252"/>
      <c r="K1060" s="38">
        <v>7554800</v>
      </c>
      <c r="L1060" s="194" t="s">
        <v>48</v>
      </c>
      <c r="M1060" s="194" t="s">
        <v>284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>x</v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ht="15.75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v>41085</v>
      </c>
      <c r="D1061" s="191" t="s">
        <v>363</v>
      </c>
      <c r="E1061" s="191">
        <v>41085</v>
      </c>
      <c r="F1061" s="192" t="s">
        <v>398</v>
      </c>
      <c r="G1061" s="192" t="s">
        <v>361</v>
      </c>
      <c r="H1061" s="210"/>
      <c r="I1061" s="252"/>
      <c r="J1061" s="252"/>
      <c r="K1061" s="38">
        <v>43545</v>
      </c>
      <c r="L1061" s="194" t="s">
        <v>24</v>
      </c>
      <c r="M1061" s="194" t="s">
        <v>40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>x</v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v>41085</v>
      </c>
      <c r="D1062" s="184" t="s">
        <v>786</v>
      </c>
      <c r="E1062" s="191">
        <v>41085</v>
      </c>
      <c r="F1062" s="192" t="s">
        <v>787</v>
      </c>
      <c r="G1062" s="192" t="s">
        <v>788</v>
      </c>
      <c r="H1062" s="193" t="s">
        <v>674</v>
      </c>
      <c r="I1062" s="252">
        <v>250</v>
      </c>
      <c r="J1062" s="252">
        <v>14469.12</v>
      </c>
      <c r="K1062" s="38">
        <v>3617280</v>
      </c>
      <c r="L1062" s="194" t="s">
        <v>169</v>
      </c>
      <c r="M1062" s="616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606"/>
      <c r="AC1062" s="198"/>
      <c r="AD1062" s="198"/>
    </row>
    <row r="1063" spans="1:30" ht="15.75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v>41085</v>
      </c>
      <c r="D1063" s="184" t="s">
        <v>786</v>
      </c>
      <c r="E1063" s="191">
        <v>41085</v>
      </c>
      <c r="F1063" s="192" t="s">
        <v>789</v>
      </c>
      <c r="G1063" s="192" t="s">
        <v>788</v>
      </c>
      <c r="H1063" s="210" t="s">
        <v>674</v>
      </c>
      <c r="I1063" s="252">
        <v>100</v>
      </c>
      <c r="J1063" s="252">
        <v>21081.599999999999</v>
      </c>
      <c r="K1063" s="38">
        <v>2108160</v>
      </c>
      <c r="L1063" s="194" t="s">
        <v>169</v>
      </c>
      <c r="M1063" s="616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B1063" s="606"/>
    </row>
    <row r="1064" spans="1:30" ht="15.75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v>41085</v>
      </c>
      <c r="D1064" s="184" t="s">
        <v>786</v>
      </c>
      <c r="E1064" s="191">
        <v>41085</v>
      </c>
      <c r="F1064" s="192" t="s">
        <v>790</v>
      </c>
      <c r="G1064" s="192" t="s">
        <v>788</v>
      </c>
      <c r="H1064" s="210" t="s">
        <v>674</v>
      </c>
      <c r="I1064" s="252">
        <v>150</v>
      </c>
      <c r="J1064" s="252">
        <v>11904</v>
      </c>
      <c r="K1064" s="38">
        <v>1785600</v>
      </c>
      <c r="L1064" s="194" t="s">
        <v>169</v>
      </c>
      <c r="M1064" s="616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B1064" s="606"/>
    </row>
    <row r="1065" spans="1:30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v>41085</v>
      </c>
      <c r="D1065" s="184" t="s">
        <v>786</v>
      </c>
      <c r="E1065" s="191">
        <v>41085</v>
      </c>
      <c r="F1065" s="192" t="s">
        <v>791</v>
      </c>
      <c r="G1065" s="192" t="s">
        <v>788</v>
      </c>
      <c r="H1065" s="210" t="s">
        <v>674</v>
      </c>
      <c r="I1065" s="252">
        <v>550</v>
      </c>
      <c r="J1065" s="252">
        <v>10448.9</v>
      </c>
      <c r="K1065" s="38">
        <v>5746895</v>
      </c>
      <c r="L1065" s="194" t="s">
        <v>169</v>
      </c>
      <c r="M1065" s="616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198"/>
      <c r="AB1065" s="606"/>
      <c r="AC1065" s="198"/>
      <c r="AD1065" s="198"/>
    </row>
    <row r="1066" spans="1:30" ht="15.75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v>41085</v>
      </c>
      <c r="D1066" s="184" t="s">
        <v>786</v>
      </c>
      <c r="E1066" s="191">
        <v>41085</v>
      </c>
      <c r="F1066" s="192" t="s">
        <v>753</v>
      </c>
      <c r="G1066" s="192" t="s">
        <v>788</v>
      </c>
      <c r="H1066" s="210" t="s">
        <v>674</v>
      </c>
      <c r="I1066" s="252"/>
      <c r="J1066" s="252"/>
      <c r="K1066" s="38">
        <v>1325794</v>
      </c>
      <c r="L1066" s="194" t="s">
        <v>9</v>
      </c>
      <c r="M1066" s="616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198">
        <v>6</v>
      </c>
    </row>
    <row r="1067" spans="1:30" ht="15.75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v>41085</v>
      </c>
      <c r="D1067" s="184" t="s">
        <v>1686</v>
      </c>
      <c r="E1067" s="191">
        <v>41085</v>
      </c>
      <c r="F1067" s="192" t="s">
        <v>400</v>
      </c>
      <c r="G1067" s="192" t="s">
        <v>788</v>
      </c>
      <c r="H1067" s="210" t="s">
        <v>674</v>
      </c>
      <c r="I1067" s="252"/>
      <c r="J1067" s="252"/>
      <c r="K1067" s="38">
        <v>14583729</v>
      </c>
      <c r="L1067" s="616" t="s">
        <v>8</v>
      </c>
      <c r="M1067" s="616" t="s">
        <v>48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v>41086</v>
      </c>
      <c r="D1068" s="191" t="s">
        <v>363</v>
      </c>
      <c r="E1068" s="191">
        <v>41086</v>
      </c>
      <c r="F1068" s="192" t="s">
        <v>365</v>
      </c>
      <c r="G1068" s="192" t="s">
        <v>361</v>
      </c>
      <c r="H1068" s="210" t="s">
        <v>792</v>
      </c>
      <c r="I1068" s="252"/>
      <c r="J1068" s="252"/>
      <c r="K1068" s="38">
        <v>14608550</v>
      </c>
      <c r="L1068" s="194" t="s">
        <v>24</v>
      </c>
      <c r="M1068" s="194" t="s">
        <v>284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>x</v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198"/>
      <c r="AB1068" s="198"/>
      <c r="AC1068" s="198"/>
      <c r="AD1068" s="198"/>
    </row>
    <row r="1069" spans="1:30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v>41086</v>
      </c>
      <c r="D1069" s="191" t="s">
        <v>1683</v>
      </c>
      <c r="E1069" s="191">
        <v>41086</v>
      </c>
      <c r="F1069" s="192" t="s">
        <v>793</v>
      </c>
      <c r="G1069" s="192" t="s">
        <v>794</v>
      </c>
      <c r="H1069" s="210" t="s">
        <v>401</v>
      </c>
      <c r="I1069" s="252"/>
      <c r="J1069" s="252"/>
      <c r="K1069" s="38">
        <v>1360000</v>
      </c>
      <c r="L1069" s="194" t="s">
        <v>175</v>
      </c>
      <c r="M1069" s="194" t="s">
        <v>48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>x</v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>154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198"/>
      <c r="AB1069" s="198"/>
      <c r="AC1069" s="198"/>
      <c r="AD1069" s="198"/>
    </row>
    <row r="1070" spans="1:30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v>41086</v>
      </c>
      <c r="D1070" s="191" t="s">
        <v>1683</v>
      </c>
      <c r="E1070" s="191">
        <v>41086</v>
      </c>
      <c r="F1070" s="192" t="s">
        <v>372</v>
      </c>
      <c r="G1070" s="192" t="s">
        <v>794</v>
      </c>
      <c r="H1070" s="210" t="s">
        <v>401</v>
      </c>
      <c r="I1070" s="252"/>
      <c r="J1070" s="252"/>
      <c r="K1070" s="38">
        <v>136000</v>
      </c>
      <c r="L1070" s="194" t="s">
        <v>175</v>
      </c>
      <c r="M1070" s="194" t="s">
        <v>48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>154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198"/>
      <c r="AB1070" s="198"/>
      <c r="AC1070" s="198"/>
      <c r="AD1070" s="198"/>
    </row>
    <row r="1071" spans="1:30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v>41086</v>
      </c>
      <c r="D1071" s="184" t="s">
        <v>795</v>
      </c>
      <c r="E1071" s="191">
        <v>41086</v>
      </c>
      <c r="F1071" s="192" t="s">
        <v>1332</v>
      </c>
      <c r="G1071" s="192" t="s">
        <v>796</v>
      </c>
      <c r="H1071" s="7" t="s">
        <v>436</v>
      </c>
      <c r="I1071" s="252">
        <v>500</v>
      </c>
      <c r="J1071" s="252">
        <v>20579</v>
      </c>
      <c r="K1071" s="38">
        <v>10289500</v>
      </c>
      <c r="L1071" s="194" t="s">
        <v>169</v>
      </c>
      <c r="M1071" s="616" t="s">
        <v>8</v>
      </c>
      <c r="N1071" s="52" t="str">
        <f>IF(AND('331-CT'!$E$7=TH!H1071,OR(L1071="331",M1071="331")),"331",IF(AND(OR(L1071="131",M1071="131"),H1071='131-CT'!$E$7),"131",""))</f>
        <v>331</v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198"/>
      <c r="AB1071" s="606"/>
      <c r="AC1071" s="198"/>
      <c r="AD1071" s="198"/>
    </row>
    <row r="1072" spans="1:30" ht="15.75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v>41086</v>
      </c>
      <c r="D1072" s="184" t="s">
        <v>795</v>
      </c>
      <c r="E1072" s="191">
        <v>41086</v>
      </c>
      <c r="F1072" s="192" t="s">
        <v>1317</v>
      </c>
      <c r="G1072" s="192" t="s">
        <v>796</v>
      </c>
      <c r="H1072" s="7" t="s">
        <v>436</v>
      </c>
      <c r="I1072" s="252">
        <v>140</v>
      </c>
      <c r="J1072" s="252">
        <v>11817</v>
      </c>
      <c r="K1072" s="38">
        <v>1654380</v>
      </c>
      <c r="L1072" s="194" t="s">
        <v>169</v>
      </c>
      <c r="M1072" s="616" t="s">
        <v>8</v>
      </c>
      <c r="N1072" s="52" t="str">
        <f>IF(AND('331-CT'!$E$7=TH!H1072,OR(L1072="331",M1072="331")),"331",IF(AND(OR(L1072="131",M1072="131"),H1072='131-CT'!$E$7),"131",""))</f>
        <v>331</v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B1072" s="606"/>
    </row>
    <row r="1073" spans="1:30" ht="15.75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v>41086</v>
      </c>
      <c r="D1073" s="184" t="s">
        <v>795</v>
      </c>
      <c r="E1073" s="191">
        <v>41086</v>
      </c>
      <c r="F1073" s="192" t="s">
        <v>566</v>
      </c>
      <c r="G1073" s="490" t="s">
        <v>796</v>
      </c>
      <c r="H1073" s="7" t="s">
        <v>436</v>
      </c>
      <c r="I1073" s="252"/>
      <c r="J1073" s="252"/>
      <c r="K1073" s="38">
        <v>1194388</v>
      </c>
      <c r="L1073" s="194" t="s">
        <v>9</v>
      </c>
      <c r="M1073" s="616" t="s">
        <v>8</v>
      </c>
      <c r="N1073" s="52" t="str">
        <f>IF(AND('331-CT'!$E$7=TH!H1073,OR(L1073="331",M1073="331")),"331",IF(AND(OR(L1073="131",M1073="131"),H1073='131-CT'!$E$7),"131",""))</f>
        <v>331</v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198">
        <v>6</v>
      </c>
    </row>
    <row r="1074" spans="1:30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v>41086</v>
      </c>
      <c r="D1074" s="184" t="s">
        <v>1687</v>
      </c>
      <c r="E1074" s="191">
        <v>41086</v>
      </c>
      <c r="F1074" s="192" t="s">
        <v>400</v>
      </c>
      <c r="G1074" s="490" t="s">
        <v>796</v>
      </c>
      <c r="H1074" s="7" t="s">
        <v>436</v>
      </c>
      <c r="I1074" s="252"/>
      <c r="J1074" s="252"/>
      <c r="K1074" s="38">
        <v>13138268</v>
      </c>
      <c r="L1074" s="616" t="s">
        <v>8</v>
      </c>
      <c r="M1074" s="616" t="s">
        <v>48</v>
      </c>
      <c r="N1074" s="52" t="str">
        <f>IF(AND('331-CT'!$E$7=TH!H1074,OR(L1074="331",M1074="331")),"331",IF(AND(OR(L1074="131",M1074="131"),H1074='131-CT'!$E$7),"131",""))</f>
        <v>331</v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198"/>
      <c r="AC1074" s="198"/>
      <c r="AD1074" s="198"/>
    </row>
    <row r="1075" spans="1:30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41086</v>
      </c>
      <c r="D1075" s="184" t="s">
        <v>797</v>
      </c>
      <c r="E1075" s="191">
        <v>41086</v>
      </c>
      <c r="F1075" s="192" t="s">
        <v>1368</v>
      </c>
      <c r="G1075" s="490" t="s">
        <v>798</v>
      </c>
      <c r="H1075" s="7" t="s">
        <v>436</v>
      </c>
      <c r="I1075" s="252">
        <v>500</v>
      </c>
      <c r="J1075" s="252">
        <v>11227</v>
      </c>
      <c r="K1075" s="38">
        <v>5613500</v>
      </c>
      <c r="L1075" s="194" t="s">
        <v>169</v>
      </c>
      <c r="M1075" s="616" t="s">
        <v>8</v>
      </c>
      <c r="N1075" s="52" t="str">
        <f>IF(AND('331-CT'!$E$7=TH!H1075,OR(L1075="331",M1075="331")),"331",IF(AND(OR(L1075="131",M1075="131"),H1075='131-CT'!$E$7),"131",""))</f>
        <v>331</v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198"/>
      <c r="AB1075" s="606"/>
      <c r="AC1075" s="198"/>
      <c r="AD1075" s="198"/>
    </row>
    <row r="1076" spans="1:30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41086</v>
      </c>
      <c r="D1076" s="184" t="s">
        <v>797</v>
      </c>
      <c r="E1076" s="191">
        <v>41086</v>
      </c>
      <c r="F1076" s="192" t="s">
        <v>1447</v>
      </c>
      <c r="G1076" s="192" t="s">
        <v>798</v>
      </c>
      <c r="H1076" s="7" t="s">
        <v>436</v>
      </c>
      <c r="I1076" s="252">
        <v>350</v>
      </c>
      <c r="J1076" s="252">
        <v>16748</v>
      </c>
      <c r="K1076" s="38">
        <v>5861800</v>
      </c>
      <c r="L1076" s="194" t="s">
        <v>169</v>
      </c>
      <c r="M1076" s="616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6"/>
      <c r="AC1076" s="198"/>
      <c r="AD1076" s="198"/>
    </row>
    <row r="1077" spans="1:30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41086</v>
      </c>
      <c r="D1077" s="184" t="s">
        <v>797</v>
      </c>
      <c r="E1077" s="191">
        <v>41086</v>
      </c>
      <c r="F1077" s="192" t="s">
        <v>1447</v>
      </c>
      <c r="G1077" s="192" t="s">
        <v>798</v>
      </c>
      <c r="H1077" s="7" t="s">
        <v>436</v>
      </c>
      <c r="I1077" s="252">
        <v>330</v>
      </c>
      <c r="J1077" s="252">
        <v>16748</v>
      </c>
      <c r="K1077" s="38">
        <v>5526840</v>
      </c>
      <c r="L1077" s="194" t="s">
        <v>169</v>
      </c>
      <c r="M1077" s="616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6"/>
      <c r="AC1077" s="198"/>
      <c r="AD1077" s="198"/>
    </row>
    <row r="1078" spans="1:30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41086</v>
      </c>
      <c r="D1078" s="184" t="s">
        <v>797</v>
      </c>
      <c r="E1078" s="191">
        <v>41086</v>
      </c>
      <c r="F1078" s="192" t="s">
        <v>1448</v>
      </c>
      <c r="G1078" s="192" t="s">
        <v>798</v>
      </c>
      <c r="H1078" s="7" t="s">
        <v>436</v>
      </c>
      <c r="I1078" s="252">
        <v>1030</v>
      </c>
      <c r="J1078" s="252">
        <v>10374</v>
      </c>
      <c r="K1078" s="38">
        <v>10685220</v>
      </c>
      <c r="L1078" s="194" t="s">
        <v>169</v>
      </c>
      <c r="M1078" s="616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/>
      <c r="AB1078" s="606"/>
      <c r="AC1078" s="198"/>
      <c r="AD1078" s="198"/>
    </row>
    <row r="1079" spans="1:30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41086</v>
      </c>
      <c r="D1079" s="184" t="s">
        <v>797</v>
      </c>
      <c r="E1079" s="191">
        <v>41086</v>
      </c>
      <c r="F1079" s="192" t="s">
        <v>1333</v>
      </c>
      <c r="G1079" s="192" t="s">
        <v>798</v>
      </c>
      <c r="H1079" s="7" t="s">
        <v>436</v>
      </c>
      <c r="I1079" s="252">
        <v>150</v>
      </c>
      <c r="J1079" s="252">
        <v>25376</v>
      </c>
      <c r="K1079" s="38">
        <v>3806400</v>
      </c>
      <c r="L1079" s="194" t="s">
        <v>169</v>
      </c>
      <c r="M1079" s="616" t="s">
        <v>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606"/>
      <c r="AC1079" s="198"/>
      <c r="AD1079" s="198"/>
    </row>
    <row r="1080" spans="1:30" ht="15.75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v>41086</v>
      </c>
      <c r="D1080" s="184" t="s">
        <v>797</v>
      </c>
      <c r="E1080" s="191">
        <v>41086</v>
      </c>
      <c r="F1080" s="192" t="s">
        <v>1334</v>
      </c>
      <c r="G1080" s="192" t="s">
        <v>798</v>
      </c>
      <c r="H1080" s="7" t="s">
        <v>436</v>
      </c>
      <c r="I1080" s="252">
        <v>860</v>
      </c>
      <c r="J1080" s="252">
        <v>14403</v>
      </c>
      <c r="K1080" s="254">
        <v>12386580</v>
      </c>
      <c r="L1080" s="194" t="s">
        <v>169</v>
      </c>
      <c r="M1080" s="616" t="s">
        <v>8</v>
      </c>
      <c r="N1080" s="52" t="str">
        <f>IF(AND('331-CT'!$E$7=TH!H1080,OR(L1080="331",M1080="331")),"331",IF(AND(OR(L1080="131",M1080="131"),H1080='131-CT'!$E$7),"131",""))</f>
        <v>331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B1080" s="606"/>
    </row>
    <row r="1081" spans="1:30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v>41086</v>
      </c>
      <c r="D1081" s="184" t="s">
        <v>797</v>
      </c>
      <c r="E1081" s="191">
        <v>41086</v>
      </c>
      <c r="F1081" s="192" t="s">
        <v>1334</v>
      </c>
      <c r="G1081" s="192" t="s">
        <v>798</v>
      </c>
      <c r="H1081" s="7" t="s">
        <v>436</v>
      </c>
      <c r="I1081" s="252">
        <v>100</v>
      </c>
      <c r="J1081" s="252">
        <v>14403</v>
      </c>
      <c r="K1081" s="38">
        <v>1440300</v>
      </c>
      <c r="L1081" s="194" t="s">
        <v>169</v>
      </c>
      <c r="M1081" s="616" t="s">
        <v>8</v>
      </c>
      <c r="N1081" s="52" t="str">
        <f>IF(AND('331-CT'!$E$7=TH!H1081,OR(L1081="331",M1081="331")),"331",IF(AND(OR(L1081="131",M1081="131"),H1081='131-CT'!$E$7),"131",""))</f>
        <v>331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198"/>
      <c r="AB1081" s="606"/>
      <c r="AC1081" s="198"/>
      <c r="AD1081" s="198"/>
    </row>
    <row r="1082" spans="1:30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66"/>
        <v>6</v>
      </c>
      <c r="C1082" s="191">
        <v>41086</v>
      </c>
      <c r="D1082" s="184" t="s">
        <v>797</v>
      </c>
      <c r="E1082" s="191">
        <v>41086</v>
      </c>
      <c r="F1082" s="192" t="s">
        <v>1335</v>
      </c>
      <c r="G1082" s="192" t="s">
        <v>798</v>
      </c>
      <c r="H1082" s="7" t="s">
        <v>436</v>
      </c>
      <c r="I1082" s="252">
        <v>220</v>
      </c>
      <c r="J1082" s="252">
        <v>16029</v>
      </c>
      <c r="K1082" s="38">
        <v>3526380</v>
      </c>
      <c r="L1082" s="194" t="s">
        <v>169</v>
      </c>
      <c r="M1082" s="616" t="s">
        <v>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606"/>
      <c r="AC1082" s="198"/>
      <c r="AD1082" s="198"/>
    </row>
    <row r="1083" spans="1:30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66"/>
        <v>6</v>
      </c>
      <c r="C1083" s="191">
        <v>41086</v>
      </c>
      <c r="D1083" s="184" t="s">
        <v>797</v>
      </c>
      <c r="E1083" s="191">
        <v>41086</v>
      </c>
      <c r="F1083" s="192" t="s">
        <v>566</v>
      </c>
      <c r="G1083" s="192" t="s">
        <v>798</v>
      </c>
      <c r="H1083" s="7" t="s">
        <v>436</v>
      </c>
      <c r="I1083" s="252"/>
      <c r="J1083" s="252"/>
      <c r="K1083" s="38">
        <v>4884702</v>
      </c>
      <c r="L1083" s="194" t="s">
        <v>9</v>
      </c>
      <c r="M1083" s="616" t="s">
        <v>8</v>
      </c>
      <c r="N1083" s="52" t="str">
        <f>IF(AND('331-CT'!$E$7=TH!H1083,OR(L1083="331",M1083="331")),"331",IF(AND(OR(L1083="131",M1083="131"),H1083='131-CT'!$E$7),"131",""))</f>
        <v>331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198">
        <v>6</v>
      </c>
      <c r="AB1083" s="198"/>
      <c r="AC1083" s="198"/>
      <c r="AD1083" s="198"/>
    </row>
    <row r="1084" spans="1:30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66"/>
        <v>6</v>
      </c>
      <c r="C1084" s="191">
        <f t="shared" ref="C1084:C1101" si="67">E1084</f>
        <v>41086</v>
      </c>
      <c r="D1084" s="191" t="s">
        <v>1638</v>
      </c>
      <c r="E1084" s="191">
        <v>41086</v>
      </c>
      <c r="F1084" s="192" t="s">
        <v>1173</v>
      </c>
      <c r="G1084" s="490" t="s">
        <v>1024</v>
      </c>
      <c r="H1084" s="193" t="s">
        <v>842</v>
      </c>
      <c r="I1084" s="252">
        <v>1884</v>
      </c>
      <c r="J1084" s="252">
        <v>8690</v>
      </c>
      <c r="K1084" s="38">
        <f>ROUND(I1084*J1084,0)</f>
        <v>16371960</v>
      </c>
      <c r="L1084" s="194" t="s">
        <v>284</v>
      </c>
      <c r="M1084" s="194" t="s">
        <v>185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</row>
    <row r="1085" spans="1:30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66"/>
        <v>6</v>
      </c>
      <c r="C1085" s="191">
        <f t="shared" si="67"/>
        <v>41086</v>
      </c>
      <c r="D1085" s="191" t="s">
        <v>1638</v>
      </c>
      <c r="E1085" s="191">
        <v>41086</v>
      </c>
      <c r="F1085" s="192" t="s">
        <v>555</v>
      </c>
      <c r="G1085" s="490" t="s">
        <v>1024</v>
      </c>
      <c r="H1085" s="193" t="s">
        <v>842</v>
      </c>
      <c r="I1085" s="252"/>
      <c r="J1085" s="252"/>
      <c r="K1085" s="38">
        <v>1637196</v>
      </c>
      <c r="L1085" s="194" t="s">
        <v>284</v>
      </c>
      <c r="M1085" s="194" t="s">
        <v>495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198"/>
      <c r="AB1085" s="198"/>
      <c r="AC1085" s="198"/>
      <c r="AD1085" s="198"/>
    </row>
    <row r="1086" spans="1:30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66"/>
        <v>6</v>
      </c>
      <c r="C1086" s="191">
        <f t="shared" si="67"/>
        <v>41086</v>
      </c>
      <c r="D1086" s="191" t="s">
        <v>1692</v>
      </c>
      <c r="E1086" s="191">
        <v>41086</v>
      </c>
      <c r="F1086" s="192" t="s">
        <v>365</v>
      </c>
      <c r="G1086" s="490" t="s">
        <v>1024</v>
      </c>
      <c r="H1086" s="193" t="s">
        <v>842</v>
      </c>
      <c r="I1086" s="252"/>
      <c r="J1086" s="252"/>
      <c r="K1086" s="38">
        <v>18009156</v>
      </c>
      <c r="L1086" s="194" t="s">
        <v>48</v>
      </c>
      <c r="M1086" s="194" t="s">
        <v>284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>x</v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198"/>
      <c r="AB1086" s="198"/>
      <c r="AC1086" s="198"/>
      <c r="AD1086" s="198"/>
    </row>
    <row r="1087" spans="1:30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66"/>
        <v>6</v>
      </c>
      <c r="C1087" s="191">
        <f t="shared" si="67"/>
        <v>41086</v>
      </c>
      <c r="D1087" s="191" t="s">
        <v>1639</v>
      </c>
      <c r="E1087" s="191">
        <v>41086</v>
      </c>
      <c r="F1087" s="192" t="s">
        <v>1172</v>
      </c>
      <c r="G1087" s="490" t="s">
        <v>1025</v>
      </c>
      <c r="H1087" s="193" t="s">
        <v>1026</v>
      </c>
      <c r="I1087" s="252">
        <v>505</v>
      </c>
      <c r="J1087" s="252">
        <v>10500</v>
      </c>
      <c r="K1087" s="38">
        <f>ROUND(I1087*J1087,0)</f>
        <v>5302500</v>
      </c>
      <c r="L1087" s="194" t="s">
        <v>284</v>
      </c>
      <c r="M1087" s="194" t="s">
        <v>185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</row>
    <row r="1088" spans="1:30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si="66"/>
        <v>6</v>
      </c>
      <c r="C1088" s="191">
        <f t="shared" si="67"/>
        <v>41086</v>
      </c>
      <c r="D1088" s="191" t="s">
        <v>1639</v>
      </c>
      <c r="E1088" s="191">
        <v>41086</v>
      </c>
      <c r="F1088" s="192" t="s">
        <v>1171</v>
      </c>
      <c r="G1088" s="490" t="s">
        <v>1025</v>
      </c>
      <c r="H1088" s="193" t="s">
        <v>1026</v>
      </c>
      <c r="I1088" s="252">
        <v>985</v>
      </c>
      <c r="J1088" s="252">
        <v>13350</v>
      </c>
      <c r="K1088" s="38">
        <f>ROUND(I1088*J1088,0)</f>
        <v>13149750</v>
      </c>
      <c r="L1088" s="194" t="s">
        <v>284</v>
      </c>
      <c r="M1088" s="194" t="s">
        <v>185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</row>
    <row r="1089" spans="1:30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66"/>
        <v>6</v>
      </c>
      <c r="C1089" s="191">
        <f t="shared" si="67"/>
        <v>41086</v>
      </c>
      <c r="D1089" s="191" t="s">
        <v>1639</v>
      </c>
      <c r="E1089" s="191">
        <v>41086</v>
      </c>
      <c r="F1089" s="192" t="s">
        <v>555</v>
      </c>
      <c r="G1089" s="490" t="s">
        <v>1025</v>
      </c>
      <c r="H1089" s="193" t="s">
        <v>1026</v>
      </c>
      <c r="I1089" s="252"/>
      <c r="J1089" s="252"/>
      <c r="K1089" s="38">
        <v>1845225</v>
      </c>
      <c r="L1089" s="194" t="s">
        <v>284</v>
      </c>
      <c r="M1089" s="194" t="s">
        <v>495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66"/>
        <v>6</v>
      </c>
      <c r="C1090" s="191">
        <f t="shared" si="67"/>
        <v>41086</v>
      </c>
      <c r="D1090" s="191" t="s">
        <v>1693</v>
      </c>
      <c r="E1090" s="191">
        <v>41086</v>
      </c>
      <c r="F1090" s="192" t="s">
        <v>365</v>
      </c>
      <c r="G1090" s="490" t="s">
        <v>1025</v>
      </c>
      <c r="H1090" s="193" t="s">
        <v>1026</v>
      </c>
      <c r="I1090" s="252"/>
      <c r="J1090" s="252"/>
      <c r="K1090" s="38">
        <v>20297475</v>
      </c>
      <c r="L1090" s="194" t="s">
        <v>48</v>
      </c>
      <c r="M1090" s="194" t="s">
        <v>284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198"/>
      <c r="AC1090" s="198"/>
      <c r="AD1090" s="198"/>
    </row>
    <row r="1091" spans="1:30" ht="15.75" customHeight="1">
      <c r="A1091" s="204" t="str">
        <f>IF(B1091&lt;&gt;"",IF(AND(B1091&gt;=_TM1,B1091&lt;=_TM2,OR(TH!L1091="1111",TH!M1091="1111")),TH!D1091,""),"")</f>
        <v/>
      </c>
      <c r="B1091" s="36">
        <f t="shared" si="66"/>
        <v>6</v>
      </c>
      <c r="C1091" s="191">
        <f t="shared" si="67"/>
        <v>41086</v>
      </c>
      <c r="D1091" s="191" t="s">
        <v>1740</v>
      </c>
      <c r="E1091" s="191">
        <v>41086</v>
      </c>
      <c r="F1091" s="192" t="s">
        <v>1496</v>
      </c>
      <c r="G1091" s="490" t="s">
        <v>1027</v>
      </c>
      <c r="H1091" s="7" t="s">
        <v>496</v>
      </c>
      <c r="I1091" s="252">
        <v>201</v>
      </c>
      <c r="J1091" s="252">
        <v>15362</v>
      </c>
      <c r="K1091" s="38">
        <f t="shared" ref="K1091:K1100" si="68">ROUND(I1091*J1091,0)</f>
        <v>3087762</v>
      </c>
      <c r="L1091" s="194" t="s">
        <v>284</v>
      </c>
      <c r="M1091" s="194" t="s">
        <v>185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211"/>
      <c r="AB1091" s="211"/>
      <c r="AC1091" s="211"/>
      <c r="AD1091" s="211"/>
    </row>
    <row r="1092" spans="1:30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66"/>
        <v>6</v>
      </c>
      <c r="C1092" s="191">
        <f t="shared" si="67"/>
        <v>41086</v>
      </c>
      <c r="D1092" s="191" t="s">
        <v>1740</v>
      </c>
      <c r="E1092" s="191">
        <v>41086</v>
      </c>
      <c r="F1092" s="192" t="s">
        <v>1510</v>
      </c>
      <c r="G1092" s="490" t="s">
        <v>1027</v>
      </c>
      <c r="H1092" s="7" t="s">
        <v>496</v>
      </c>
      <c r="I1092" s="252">
        <v>75</v>
      </c>
      <c r="J1092" s="252">
        <v>15968</v>
      </c>
      <c r="K1092" s="38">
        <f t="shared" si="68"/>
        <v>1197600</v>
      </c>
      <c r="L1092" s="194" t="s">
        <v>284</v>
      </c>
      <c r="M1092" s="194" t="s">
        <v>185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</row>
    <row r="1093" spans="1:30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66"/>
        <v>6</v>
      </c>
      <c r="C1093" s="191">
        <f t="shared" si="67"/>
        <v>41086</v>
      </c>
      <c r="D1093" s="191" t="s">
        <v>1740</v>
      </c>
      <c r="E1093" s="191">
        <v>41086</v>
      </c>
      <c r="F1093" s="192" t="s">
        <v>1526</v>
      </c>
      <c r="G1093" s="490" t="s">
        <v>1027</v>
      </c>
      <c r="H1093" s="7" t="s">
        <v>496</v>
      </c>
      <c r="I1093" s="252">
        <v>221</v>
      </c>
      <c r="J1093" s="252">
        <v>16720</v>
      </c>
      <c r="K1093" s="38">
        <f t="shared" si="68"/>
        <v>3695120</v>
      </c>
      <c r="L1093" s="194" t="s">
        <v>284</v>
      </c>
      <c r="M1093" s="194" t="s">
        <v>185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</row>
    <row r="1094" spans="1:30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66"/>
        <v>6</v>
      </c>
      <c r="C1094" s="191">
        <f t="shared" si="67"/>
        <v>41086</v>
      </c>
      <c r="D1094" s="191" t="s">
        <v>1740</v>
      </c>
      <c r="E1094" s="191">
        <v>41086</v>
      </c>
      <c r="F1094" s="192" t="s">
        <v>1538</v>
      </c>
      <c r="G1094" s="490" t="s">
        <v>1027</v>
      </c>
      <c r="H1094" s="7" t="s">
        <v>496</v>
      </c>
      <c r="I1094" s="252">
        <v>86</v>
      </c>
      <c r="J1094" s="252">
        <v>19434</v>
      </c>
      <c r="K1094" s="38">
        <f t="shared" si="68"/>
        <v>1671324</v>
      </c>
      <c r="L1094" s="194" t="s">
        <v>284</v>
      </c>
      <c r="M1094" s="194" t="s">
        <v>185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</row>
    <row r="1095" spans="1:30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66"/>
        <v>6</v>
      </c>
      <c r="C1095" s="191">
        <f t="shared" si="67"/>
        <v>41086</v>
      </c>
      <c r="D1095" s="191" t="s">
        <v>1740</v>
      </c>
      <c r="E1095" s="191">
        <v>41086</v>
      </c>
      <c r="F1095" s="192" t="s">
        <v>1513</v>
      </c>
      <c r="G1095" s="490" t="s">
        <v>1027</v>
      </c>
      <c r="H1095" s="7" t="s">
        <v>496</v>
      </c>
      <c r="I1095" s="252">
        <v>310</v>
      </c>
      <c r="J1095" s="252">
        <v>16451</v>
      </c>
      <c r="K1095" s="38">
        <f t="shared" si="68"/>
        <v>5099810</v>
      </c>
      <c r="L1095" s="194" t="s">
        <v>284</v>
      </c>
      <c r="M1095" s="194" t="s">
        <v>185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</row>
    <row r="1096" spans="1:30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66"/>
        <v>6</v>
      </c>
      <c r="C1096" s="191">
        <f t="shared" si="67"/>
        <v>41086</v>
      </c>
      <c r="D1096" s="191" t="s">
        <v>1740</v>
      </c>
      <c r="E1096" s="191">
        <v>41086</v>
      </c>
      <c r="F1096" s="192" t="s">
        <v>1532</v>
      </c>
      <c r="G1096" s="490" t="s">
        <v>1027</v>
      </c>
      <c r="H1096" s="7" t="s">
        <v>496</v>
      </c>
      <c r="I1096" s="252">
        <f>172+67</f>
        <v>239</v>
      </c>
      <c r="J1096" s="252">
        <v>25702</v>
      </c>
      <c r="K1096" s="38">
        <f t="shared" si="68"/>
        <v>6142778</v>
      </c>
      <c r="L1096" s="194" t="s">
        <v>284</v>
      </c>
      <c r="M1096" s="194" t="s">
        <v>185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</row>
    <row r="1097" spans="1:30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66"/>
        <v>6</v>
      </c>
      <c r="C1097" s="191">
        <f t="shared" si="67"/>
        <v>41086</v>
      </c>
      <c r="D1097" s="191" t="s">
        <v>1740</v>
      </c>
      <c r="E1097" s="191">
        <v>41086</v>
      </c>
      <c r="F1097" s="192" t="s">
        <v>1512</v>
      </c>
      <c r="G1097" s="490" t="s">
        <v>1027</v>
      </c>
      <c r="H1097" s="7" t="s">
        <v>496</v>
      </c>
      <c r="I1097" s="252">
        <v>1</v>
      </c>
      <c r="J1097" s="252">
        <v>9760</v>
      </c>
      <c r="K1097" s="38">
        <f t="shared" si="68"/>
        <v>9760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</row>
    <row r="1098" spans="1:30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66"/>
        <v>6</v>
      </c>
      <c r="C1098" s="191">
        <f t="shared" si="67"/>
        <v>41086</v>
      </c>
      <c r="D1098" s="191" t="s">
        <v>1740</v>
      </c>
      <c r="E1098" s="191">
        <v>41086</v>
      </c>
      <c r="F1098" s="192" t="s">
        <v>1516</v>
      </c>
      <c r="G1098" s="490" t="s">
        <v>1027</v>
      </c>
      <c r="H1098" s="7" t="s">
        <v>496</v>
      </c>
      <c r="I1098" s="252">
        <v>260</v>
      </c>
      <c r="J1098" s="252">
        <v>19372</v>
      </c>
      <c r="K1098" s="38">
        <f t="shared" si="68"/>
        <v>5036720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66"/>
        <v>6</v>
      </c>
      <c r="C1099" s="191">
        <f t="shared" si="67"/>
        <v>41086</v>
      </c>
      <c r="D1099" s="191" t="s">
        <v>1740</v>
      </c>
      <c r="E1099" s="191">
        <v>41086</v>
      </c>
      <c r="F1099" s="192" t="s">
        <v>1523</v>
      </c>
      <c r="G1099" s="490" t="s">
        <v>1027</v>
      </c>
      <c r="H1099" s="7" t="s">
        <v>496</v>
      </c>
      <c r="I1099" s="252">
        <v>236</v>
      </c>
      <c r="J1099" s="252">
        <v>15158</v>
      </c>
      <c r="K1099" s="38">
        <f t="shared" si="68"/>
        <v>3577288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66"/>
        <v>6</v>
      </c>
      <c r="C1100" s="191">
        <f t="shared" si="67"/>
        <v>41086</v>
      </c>
      <c r="D1100" s="191" t="s">
        <v>1740</v>
      </c>
      <c r="E1100" s="191">
        <v>41086</v>
      </c>
      <c r="F1100" s="192" t="s">
        <v>1524</v>
      </c>
      <c r="G1100" s="490" t="s">
        <v>1027</v>
      </c>
      <c r="H1100" s="7" t="s">
        <v>496</v>
      </c>
      <c r="I1100" s="252">
        <v>350</v>
      </c>
      <c r="J1100" s="252">
        <v>21517</v>
      </c>
      <c r="K1100" s="38">
        <f t="shared" si="68"/>
        <v>7530950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66"/>
        <v>6</v>
      </c>
      <c r="C1101" s="191">
        <f t="shared" si="67"/>
        <v>41086</v>
      </c>
      <c r="D1101" s="191" t="s">
        <v>1740</v>
      </c>
      <c r="E1101" s="191">
        <v>41086</v>
      </c>
      <c r="F1101" s="192" t="s">
        <v>555</v>
      </c>
      <c r="G1101" s="490" t="s">
        <v>1027</v>
      </c>
      <c r="H1101" s="7" t="s">
        <v>496</v>
      </c>
      <c r="I1101" s="252"/>
      <c r="J1101" s="252"/>
      <c r="K1101" s="38">
        <v>3704911</v>
      </c>
      <c r="L1101" s="194" t="s">
        <v>284</v>
      </c>
      <c r="M1101" s="194" t="s">
        <v>495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198"/>
      <c r="AB1101" s="906"/>
      <c r="AC1101" s="906">
        <f>AB1101-SUM(K1091:K1100)</f>
        <v>-37049112</v>
      </c>
      <c r="AD1101" s="198"/>
    </row>
    <row r="1102" spans="1:30" ht="15.75" customHeight="1">
      <c r="A1102" s="204" t="str">
        <f>IF(B1102&lt;&gt;"",IF(AND(B1102&gt;=_TM1,B1102&lt;=_TM2,OR(TH!L1102="1111",TH!M1102="1111")),TH!D1102,""),"")</f>
        <v/>
      </c>
      <c r="B1102" s="36">
        <f t="shared" si="66"/>
        <v>6</v>
      </c>
      <c r="C1102" s="191">
        <v>41087</v>
      </c>
      <c r="D1102" s="191" t="s">
        <v>363</v>
      </c>
      <c r="E1102" s="191">
        <v>41087</v>
      </c>
      <c r="F1102" s="192" t="s">
        <v>365</v>
      </c>
      <c r="G1102" s="192" t="s">
        <v>361</v>
      </c>
      <c r="H1102" s="193" t="s">
        <v>799</v>
      </c>
      <c r="I1102" s="252"/>
      <c r="J1102" s="252"/>
      <c r="K1102" s="38">
        <v>19893440</v>
      </c>
      <c r="L1102" s="194" t="s">
        <v>24</v>
      </c>
      <c r="M1102" s="194" t="s">
        <v>284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>x</v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66"/>
        <v>6</v>
      </c>
      <c r="C1103" s="191">
        <v>41087</v>
      </c>
      <c r="D1103" s="184" t="s">
        <v>800</v>
      </c>
      <c r="E1103" s="191">
        <v>41087</v>
      </c>
      <c r="F1103" s="192" t="s">
        <v>1449</v>
      </c>
      <c r="G1103" s="192" t="s">
        <v>801</v>
      </c>
      <c r="H1103" s="7" t="s">
        <v>436</v>
      </c>
      <c r="I1103" s="252">
        <v>500</v>
      </c>
      <c r="J1103" s="252">
        <v>11447</v>
      </c>
      <c r="K1103" s="38">
        <v>5723500</v>
      </c>
      <c r="L1103" s="194" t="s">
        <v>169</v>
      </c>
      <c r="M1103" s="616" t="s">
        <v>8</v>
      </c>
      <c r="N1103" s="52" t="str">
        <f>IF(AND('331-CT'!$E$7=TH!H1103,OR(L1103="331",M1103="331")),"331",IF(AND(OR(L1103="131",M1103="131"),H1103='131-CT'!$E$7),"131",""))</f>
        <v>331</v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198"/>
      <c r="AB1103" s="606"/>
      <c r="AC1103" s="198"/>
      <c r="AD1103" s="198"/>
    </row>
    <row r="1104" spans="1:30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66"/>
        <v>6</v>
      </c>
      <c r="C1104" s="191">
        <v>41087</v>
      </c>
      <c r="D1104" s="184" t="s">
        <v>800</v>
      </c>
      <c r="E1104" s="191">
        <v>41087</v>
      </c>
      <c r="F1104" s="192" t="s">
        <v>1450</v>
      </c>
      <c r="G1104" s="192" t="s">
        <v>801</v>
      </c>
      <c r="H1104" s="7" t="s">
        <v>436</v>
      </c>
      <c r="I1104" s="252">
        <v>500</v>
      </c>
      <c r="J1104" s="252">
        <v>12903</v>
      </c>
      <c r="K1104" s="38">
        <v>6451500</v>
      </c>
      <c r="L1104" s="194" t="s">
        <v>169</v>
      </c>
      <c r="M1104" s="616" t="s">
        <v>8</v>
      </c>
      <c r="N1104" s="52" t="str">
        <f>IF(AND('331-CT'!$E$7=TH!H1104,OR(L1104="331",M1104="331")),"331",IF(AND(OR(L1104="131",M1104="131"),H1104='131-CT'!$E$7),"131",""))</f>
        <v>331</v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198"/>
      <c r="AB1104" s="606"/>
      <c r="AC1104" s="198"/>
      <c r="AD1104" s="198"/>
    </row>
    <row r="1105" spans="1:30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66"/>
        <v>6</v>
      </c>
      <c r="C1105" s="191">
        <v>41087</v>
      </c>
      <c r="D1105" s="184" t="s">
        <v>800</v>
      </c>
      <c r="E1105" s="191">
        <v>41087</v>
      </c>
      <c r="F1105" s="192" t="s">
        <v>566</v>
      </c>
      <c r="G1105" s="490" t="s">
        <v>801</v>
      </c>
      <c r="H1105" s="7" t="s">
        <v>436</v>
      </c>
      <c r="I1105" s="252"/>
      <c r="J1105" s="252"/>
      <c r="K1105" s="38">
        <v>1217500</v>
      </c>
      <c r="L1105" s="194" t="s">
        <v>9</v>
      </c>
      <c r="M1105" s="616" t="s">
        <v>8</v>
      </c>
      <c r="N1105" s="52" t="str">
        <f>IF(AND('331-CT'!$E$7=TH!H1105,OR(L1105="331",M1105="331")),"331",IF(AND(OR(L1105="131",M1105="131"),H1105='131-CT'!$E$7),"131",""))</f>
        <v>331</v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198">
        <v>6</v>
      </c>
      <c r="AB1105" s="198"/>
      <c r="AC1105" s="198"/>
      <c r="AD1105" s="198"/>
    </row>
    <row r="1106" spans="1:30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66"/>
        <v>6</v>
      </c>
      <c r="C1106" s="191">
        <v>41087</v>
      </c>
      <c r="D1106" s="184" t="s">
        <v>1690</v>
      </c>
      <c r="E1106" s="191">
        <v>41087</v>
      </c>
      <c r="F1106" s="192" t="s">
        <v>400</v>
      </c>
      <c r="G1106" s="490" t="s">
        <v>801</v>
      </c>
      <c r="H1106" s="7" t="s">
        <v>436</v>
      </c>
      <c r="I1106" s="252"/>
      <c r="J1106" s="252"/>
      <c r="K1106" s="38">
        <v>13392500</v>
      </c>
      <c r="L1106" s="616" t="s">
        <v>8</v>
      </c>
      <c r="M1106" s="616" t="s">
        <v>48</v>
      </c>
      <c r="N1106" s="52" t="str">
        <f>IF(AND('331-CT'!$E$7=TH!H1106,OR(L1106="331",M1106="331")),"331",IF(AND(OR(L1106="131",M1106="131"),H1106='131-CT'!$E$7),"131",""))</f>
        <v>331</v>
      </c>
      <c r="O1106" s="52" t="str">
        <f>IF(AND($B1106&gt;='111'!$N$11,$B1106&lt;='111'!$O$11,OR($L1106=$O$7,$M1106=$O$7)),"x","")</f>
        <v>x</v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198"/>
      <c r="AB1106" s="198"/>
      <c r="AC1106" s="198"/>
      <c r="AD1106" s="198"/>
    </row>
    <row r="1107" spans="1:30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66"/>
        <v>6</v>
      </c>
      <c r="C1107" s="191">
        <f t="shared" ref="C1107:C1114" si="69">E1107</f>
        <v>41088</v>
      </c>
      <c r="D1107" s="184" t="s">
        <v>1691</v>
      </c>
      <c r="E1107" s="191">
        <v>41088</v>
      </c>
      <c r="F1107" s="189" t="s">
        <v>589</v>
      </c>
      <c r="G1107" s="488" t="s">
        <v>1473</v>
      </c>
      <c r="H1107" s="7" t="s">
        <v>591</v>
      </c>
      <c r="I1107" s="252"/>
      <c r="J1107" s="255"/>
      <c r="K1107" s="615">
        <v>369361</v>
      </c>
      <c r="L1107" s="194" t="s">
        <v>84</v>
      </c>
      <c r="M1107" s="616" t="s">
        <v>48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>x</v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642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66"/>
        <v>6</v>
      </c>
      <c r="C1108" s="191">
        <f t="shared" si="69"/>
        <v>41088</v>
      </c>
      <c r="D1108" s="184" t="s">
        <v>1691</v>
      </c>
      <c r="E1108" s="191">
        <v>41088</v>
      </c>
      <c r="F1108" s="189" t="s">
        <v>592</v>
      </c>
      <c r="G1108" s="488" t="s">
        <v>1473</v>
      </c>
      <c r="H1108" s="7" t="s">
        <v>591</v>
      </c>
      <c r="I1108" s="255"/>
      <c r="J1108" s="255"/>
      <c r="K1108" s="38">
        <v>36936</v>
      </c>
      <c r="L1108" s="194" t="s">
        <v>84</v>
      </c>
      <c r="M1108" s="616" t="s">
        <v>48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642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C1108" s="606"/>
      <c r="AD1108" s="606"/>
    </row>
    <row r="1109" spans="1:30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ref="B1109:B1172" si="70">IF(C1109&lt;&gt;"",MONTH(C1109),"")</f>
        <v>6</v>
      </c>
      <c r="C1109" s="191">
        <f t="shared" si="69"/>
        <v>41089</v>
      </c>
      <c r="D1109" s="184" t="s">
        <v>1694</v>
      </c>
      <c r="E1109" s="191">
        <v>41089</v>
      </c>
      <c r="F1109" s="192" t="s">
        <v>400</v>
      </c>
      <c r="G1109" s="192" t="s">
        <v>761</v>
      </c>
      <c r="H1109" s="7" t="s">
        <v>436</v>
      </c>
      <c r="I1109" s="252"/>
      <c r="J1109" s="252"/>
      <c r="K1109" s="38">
        <v>13695040</v>
      </c>
      <c r="L1109" s="616" t="s">
        <v>8</v>
      </c>
      <c r="M1109" s="616" t="s">
        <v>48</v>
      </c>
      <c r="N1109" s="52" t="str">
        <f>IF(AND('331-CT'!$E$7=TH!H1109,OR(L1109="331",M1109="331")),"331",IF(AND(OR(L1109="131",M1109="131"),H1109='131-CT'!$E$7),"131",""))</f>
        <v>331</v>
      </c>
      <c r="O1109" s="52" t="str">
        <f>IF(AND($B1109&gt;='111'!$N$11,$B1109&lt;='111'!$O$11,OR($L1109=$O$7,$M1109=$O$7)),"x","")</f>
        <v>x</v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198"/>
      <c r="AB1109" s="198"/>
      <c r="AC1109" s="198"/>
      <c r="AD1109" s="198"/>
    </row>
    <row r="1110" spans="1:30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69"/>
        <v>41089</v>
      </c>
      <c r="D1110" s="184" t="s">
        <v>1695</v>
      </c>
      <c r="E1110" s="191">
        <v>41089</v>
      </c>
      <c r="F1110" s="189" t="s">
        <v>1576</v>
      </c>
      <c r="G1110" s="488" t="s">
        <v>940</v>
      </c>
      <c r="H1110" s="7" t="s">
        <v>1578</v>
      </c>
      <c r="I1110" s="252"/>
      <c r="J1110" s="255"/>
      <c r="K1110" s="615">
        <v>9611160</v>
      </c>
      <c r="L1110" s="194" t="s">
        <v>84</v>
      </c>
      <c r="M1110" s="616" t="s">
        <v>48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>x</v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642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</row>
    <row r="1111" spans="1:30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69"/>
        <v>41089</v>
      </c>
      <c r="D1111" s="184" t="s">
        <v>1695</v>
      </c>
      <c r="E1111" s="191">
        <v>41089</v>
      </c>
      <c r="F1111" s="189" t="s">
        <v>1577</v>
      </c>
      <c r="G1111" s="488" t="s">
        <v>940</v>
      </c>
      <c r="H1111" s="7" t="s">
        <v>1578</v>
      </c>
      <c r="I1111" s="255"/>
      <c r="J1111" s="255"/>
      <c r="K1111" s="38">
        <v>961116</v>
      </c>
      <c r="L1111" s="194" t="s">
        <v>9</v>
      </c>
      <c r="M1111" s="616" t="s">
        <v>48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211">
        <v>6</v>
      </c>
      <c r="AC1111" s="606"/>
      <c r="AD1111" s="606"/>
    </row>
    <row r="1112" spans="1:30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740">
        <f t="shared" si="69"/>
        <v>41090</v>
      </c>
      <c r="D1112" s="740" t="s">
        <v>367</v>
      </c>
      <c r="E1112" s="853">
        <v>41090</v>
      </c>
      <c r="F1112" s="741" t="s">
        <v>1584</v>
      </c>
      <c r="G1112" s="742"/>
      <c r="H1112" s="629"/>
      <c r="I1112" s="487"/>
      <c r="J1112" s="487"/>
      <c r="K1112" s="743">
        <v>9325000</v>
      </c>
      <c r="L1112" s="744" t="s">
        <v>84</v>
      </c>
      <c r="M1112" s="744" t="s">
        <v>287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642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606"/>
      <c r="AB1112" s="606"/>
      <c r="AC1112" s="606"/>
      <c r="AD1112" s="606"/>
    </row>
    <row r="1113" spans="1:30" ht="15.75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740">
        <f t="shared" si="69"/>
        <v>41090</v>
      </c>
      <c r="D1113" s="740" t="s">
        <v>367</v>
      </c>
      <c r="E1113" s="853">
        <v>41090</v>
      </c>
      <c r="F1113" s="741" t="s">
        <v>511</v>
      </c>
      <c r="G1113" s="742"/>
      <c r="H1113" s="629"/>
      <c r="I1113" s="487"/>
      <c r="J1113" s="487"/>
      <c r="K1113" s="743">
        <v>13450000</v>
      </c>
      <c r="L1113" s="744" t="s">
        <v>175</v>
      </c>
      <c r="M1113" s="744" t="s">
        <v>287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154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606"/>
      <c r="AB1113" s="606"/>
      <c r="AC1113" s="606"/>
      <c r="AD1113" s="606"/>
    </row>
    <row r="1114" spans="1:30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70"/>
        <v>6</v>
      </c>
      <c r="C1114" s="740">
        <f t="shared" si="69"/>
        <v>41090</v>
      </c>
      <c r="D1114" s="740" t="s">
        <v>1696</v>
      </c>
      <c r="E1114" s="853">
        <v>41090</v>
      </c>
      <c r="F1114" s="741" t="str">
        <f>"Thanh toán tiền lương tháng "&amp;MONTH(E1114)&amp;"/"&amp;YEAR(E1114)</f>
        <v>Thanh toán tiền lương tháng 6/2012</v>
      </c>
      <c r="G1114" s="742"/>
      <c r="H1114" s="45" t="s">
        <v>684</v>
      </c>
      <c r="I1114" s="487"/>
      <c r="J1114" s="487"/>
      <c r="K1114" s="743">
        <f>K1112+K1113</f>
        <v>22775000</v>
      </c>
      <c r="L1114" s="744" t="s">
        <v>287</v>
      </c>
      <c r="M1114" s="744" t="s">
        <v>48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606"/>
      <c r="AB1114" s="606"/>
      <c r="AC1114" s="606"/>
      <c r="AD1114" s="606"/>
    </row>
    <row r="1115" spans="1:30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70"/>
        <v>6</v>
      </c>
      <c r="C1115" s="191">
        <v>41090</v>
      </c>
      <c r="D1115" s="191" t="s">
        <v>363</v>
      </c>
      <c r="E1115" s="191">
        <v>41090</v>
      </c>
      <c r="F1115" s="192" t="s">
        <v>365</v>
      </c>
      <c r="G1115" s="490" t="s">
        <v>361</v>
      </c>
      <c r="H1115" s="7" t="s">
        <v>632</v>
      </c>
      <c r="I1115" s="252"/>
      <c r="J1115" s="252"/>
      <c r="K1115" s="38">
        <v>13431000</v>
      </c>
      <c r="L1115" s="194" t="s">
        <v>24</v>
      </c>
      <c r="M1115" s="194" t="s">
        <v>284</v>
      </c>
      <c r="N1115" s="52" t="str">
        <f>IF(AND('331-CT'!$E$7=TH!H1115,OR(L1115="331",M1115="331")),"331",IF(AND(OR(L1115="131",M1115="131"),H1115='131-CT'!$E$7),"131",""))</f>
        <v>131</v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>x</v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198"/>
      <c r="AB1115" s="198"/>
      <c r="AC1115" s="198"/>
      <c r="AD1115" s="198"/>
    </row>
    <row r="1116" spans="1:30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70"/>
        <v>6</v>
      </c>
      <c r="C1116" s="191">
        <v>41090</v>
      </c>
      <c r="D1116" s="191" t="s">
        <v>1697</v>
      </c>
      <c r="E1116" s="191">
        <v>41090</v>
      </c>
      <c r="F1116" s="192" t="s">
        <v>396</v>
      </c>
      <c r="G1116" s="490" t="s">
        <v>361</v>
      </c>
      <c r="H1116" s="193" t="s">
        <v>684</v>
      </c>
      <c r="I1116" s="252"/>
      <c r="J1116" s="252"/>
      <c r="K1116" s="38">
        <v>9000000</v>
      </c>
      <c r="L1116" s="194" t="s">
        <v>24</v>
      </c>
      <c r="M1116" s="194" t="s">
        <v>48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>x</v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198"/>
      <c r="AB1116" s="198"/>
      <c r="AC1116" s="198"/>
      <c r="AD1116" s="198"/>
    </row>
    <row r="1117" spans="1:30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70"/>
        <v>6</v>
      </c>
      <c r="C1117" s="191">
        <v>41090</v>
      </c>
      <c r="D1117" s="184" t="s">
        <v>802</v>
      </c>
      <c r="E1117" s="191">
        <v>41090</v>
      </c>
      <c r="F1117" s="192" t="s">
        <v>1451</v>
      </c>
      <c r="G1117" s="490" t="s">
        <v>803</v>
      </c>
      <c r="H1117" s="7" t="s">
        <v>436</v>
      </c>
      <c r="I1117" s="252">
        <v>200</v>
      </c>
      <c r="J1117" s="252">
        <v>8165</v>
      </c>
      <c r="K1117" s="38">
        <v>1633000</v>
      </c>
      <c r="L1117" s="194" t="s">
        <v>169</v>
      </c>
      <c r="M1117" s="616" t="s">
        <v>8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198"/>
      <c r="AB1117" s="606"/>
      <c r="AC1117" s="198"/>
      <c r="AD1117" s="198"/>
    </row>
    <row r="1118" spans="1:30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70"/>
        <v>6</v>
      </c>
      <c r="C1118" s="191">
        <v>41090</v>
      </c>
      <c r="D1118" s="184" t="s">
        <v>802</v>
      </c>
      <c r="E1118" s="191">
        <v>41090</v>
      </c>
      <c r="F1118" s="192" t="s">
        <v>1432</v>
      </c>
      <c r="G1118" s="490" t="s">
        <v>803</v>
      </c>
      <c r="H1118" s="7" t="s">
        <v>436</v>
      </c>
      <c r="I1118" s="252">
        <v>250</v>
      </c>
      <c r="J1118" s="252">
        <v>10653</v>
      </c>
      <c r="K1118" s="38">
        <v>2663250</v>
      </c>
      <c r="L1118" s="194" t="s">
        <v>169</v>
      </c>
      <c r="M1118" s="616" t="s">
        <v>8</v>
      </c>
      <c r="N1118" s="52" t="str">
        <f>IF(AND('331-CT'!$E$7=TH!H1118,OR(L1118="331",M1118="331")),"331",IF(AND(OR(L1118="131",M1118="131"),H1118='131-CT'!$E$7),"131",""))</f>
        <v>331</v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198"/>
      <c r="AB1118" s="606"/>
      <c r="AC1118" s="198"/>
      <c r="AD1118" s="198"/>
    </row>
    <row r="1119" spans="1:30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70"/>
        <v>6</v>
      </c>
      <c r="C1119" s="191">
        <v>41090</v>
      </c>
      <c r="D1119" s="184" t="s">
        <v>802</v>
      </c>
      <c r="E1119" s="191">
        <v>41090</v>
      </c>
      <c r="F1119" s="192" t="s">
        <v>1452</v>
      </c>
      <c r="G1119" s="490" t="s">
        <v>803</v>
      </c>
      <c r="H1119" s="7" t="s">
        <v>436</v>
      </c>
      <c r="I1119" s="252">
        <v>350</v>
      </c>
      <c r="J1119" s="252">
        <v>16128</v>
      </c>
      <c r="K1119" s="38">
        <v>5644800</v>
      </c>
      <c r="L1119" s="194" t="s">
        <v>169</v>
      </c>
      <c r="M1119" s="616" t="s">
        <v>8</v>
      </c>
      <c r="N1119" s="52" t="str">
        <f>IF(AND('331-CT'!$E$7=TH!H1119,OR(L1119="331",M1119="331")),"331",IF(AND(OR(L1119="131",M1119="131"),H1119='131-CT'!$E$7),"131",""))</f>
        <v>331</v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198"/>
      <c r="AB1119" s="606"/>
      <c r="AC1119" s="198"/>
      <c r="AD1119" s="198"/>
    </row>
    <row r="1120" spans="1:30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70"/>
        <v>6</v>
      </c>
      <c r="C1120" s="191">
        <v>41090</v>
      </c>
      <c r="D1120" s="184" t="s">
        <v>802</v>
      </c>
      <c r="E1120" s="191">
        <v>41090</v>
      </c>
      <c r="F1120" s="192" t="s">
        <v>1413</v>
      </c>
      <c r="G1120" s="490" t="s">
        <v>803</v>
      </c>
      <c r="H1120" s="7" t="s">
        <v>436</v>
      </c>
      <c r="I1120" s="252">
        <v>250</v>
      </c>
      <c r="J1120" s="252">
        <v>17722</v>
      </c>
      <c r="K1120" s="38">
        <v>4430500</v>
      </c>
      <c r="L1120" s="194" t="s">
        <v>169</v>
      </c>
      <c r="M1120" s="616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198"/>
      <c r="AB1120" s="606"/>
      <c r="AC1120" s="198"/>
      <c r="AD1120" s="198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70"/>
        <v>6</v>
      </c>
      <c r="C1121" s="191">
        <v>41090</v>
      </c>
      <c r="D1121" s="184" t="s">
        <v>802</v>
      </c>
      <c r="E1121" s="191">
        <v>41090</v>
      </c>
      <c r="F1121" s="192" t="s">
        <v>1336</v>
      </c>
      <c r="G1121" s="490" t="s">
        <v>803</v>
      </c>
      <c r="H1121" s="7" t="s">
        <v>436</v>
      </c>
      <c r="I1121" s="252">
        <v>170</v>
      </c>
      <c r="J1121" s="252">
        <v>14221</v>
      </c>
      <c r="K1121" s="38">
        <v>2417570</v>
      </c>
      <c r="L1121" s="194" t="s">
        <v>169</v>
      </c>
      <c r="M1121" s="616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198"/>
      <c r="AB1121" s="606"/>
      <c r="AC1121" s="198"/>
      <c r="AD1121" s="198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70"/>
        <v>6</v>
      </c>
      <c r="C1122" s="191">
        <v>41090</v>
      </c>
      <c r="D1122" s="184" t="s">
        <v>802</v>
      </c>
      <c r="E1122" s="191">
        <v>41090</v>
      </c>
      <c r="F1122" s="192" t="s">
        <v>566</v>
      </c>
      <c r="G1122" s="490" t="s">
        <v>803</v>
      </c>
      <c r="H1122" s="7" t="s">
        <v>436</v>
      </c>
      <c r="I1122" s="252"/>
      <c r="J1122" s="252"/>
      <c r="K1122" s="38">
        <v>1678912</v>
      </c>
      <c r="L1122" s="194" t="s">
        <v>9</v>
      </c>
      <c r="M1122" s="616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198">
        <v>6</v>
      </c>
      <c r="AB1122" s="198"/>
      <c r="AC1122" s="198"/>
      <c r="AD1122" s="198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70"/>
        <v>6</v>
      </c>
      <c r="C1123" s="191">
        <v>41090</v>
      </c>
      <c r="D1123" s="184" t="s">
        <v>1698</v>
      </c>
      <c r="E1123" s="191">
        <v>41090</v>
      </c>
      <c r="F1123" s="192" t="s">
        <v>400</v>
      </c>
      <c r="G1123" s="490" t="s">
        <v>803</v>
      </c>
      <c r="H1123" s="7" t="s">
        <v>436</v>
      </c>
      <c r="I1123" s="252"/>
      <c r="J1123" s="252"/>
      <c r="K1123" s="38">
        <v>18468032</v>
      </c>
      <c r="L1123" s="616" t="s">
        <v>8</v>
      </c>
      <c r="M1123" s="616" t="s">
        <v>48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>x</v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198"/>
      <c r="AB1123" s="198"/>
      <c r="AC1123" s="198"/>
      <c r="AD1123" s="198"/>
    </row>
    <row r="1124" spans="1:30" ht="15.75" customHeight="1">
      <c r="A1124" s="204" t="str">
        <f>IF(B1124&lt;&gt;"",IF(AND(B1124&gt;=_TM1,B1124&lt;=_TM2,OR(TH!L1124="1111",TH!M1124="1111")),TH!D1124,""),"")</f>
        <v/>
      </c>
      <c r="B1124" s="36">
        <f t="shared" si="70"/>
        <v>6</v>
      </c>
      <c r="C1124" s="191">
        <f t="shared" ref="C1124:C1142" si="71">E1124</f>
        <v>41090</v>
      </c>
      <c r="D1124" s="191" t="s">
        <v>1741</v>
      </c>
      <c r="E1124" s="886">
        <v>41090</v>
      </c>
      <c r="F1124" s="192" t="s">
        <v>1501</v>
      </c>
      <c r="G1124" s="888" t="s">
        <v>1028</v>
      </c>
      <c r="H1124" s="7" t="s">
        <v>496</v>
      </c>
      <c r="I1124" s="252">
        <v>450</v>
      </c>
      <c r="J1124" s="252">
        <v>8389</v>
      </c>
      <c r="K1124" s="38">
        <f t="shared" ref="K1124:K1139" si="72">ROUND(I1124*J1124,0)</f>
        <v>3775050</v>
      </c>
      <c r="L1124" s="194" t="s">
        <v>284</v>
      </c>
      <c r="M1124" s="194" t="s">
        <v>185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211"/>
      <c r="AB1124" s="211"/>
      <c r="AC1124" s="211"/>
      <c r="AD1124" s="211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70"/>
        <v>6</v>
      </c>
      <c r="C1125" s="191">
        <f t="shared" si="71"/>
        <v>41090</v>
      </c>
      <c r="D1125" s="191" t="s">
        <v>1741</v>
      </c>
      <c r="E1125" s="886">
        <v>41090</v>
      </c>
      <c r="F1125" s="192" t="s">
        <v>1534</v>
      </c>
      <c r="G1125" s="888" t="s">
        <v>1028</v>
      </c>
      <c r="H1125" s="7" t="s">
        <v>496</v>
      </c>
      <c r="I1125" s="252">
        <v>789</v>
      </c>
      <c r="J1125" s="252">
        <v>9293</v>
      </c>
      <c r="K1125" s="38">
        <f t="shared" si="72"/>
        <v>7332177</v>
      </c>
      <c r="L1125" s="194" t="s">
        <v>284</v>
      </c>
      <c r="M1125" s="194" t="s">
        <v>185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70"/>
        <v>6</v>
      </c>
      <c r="C1126" s="191">
        <f t="shared" si="71"/>
        <v>41090</v>
      </c>
      <c r="D1126" s="191" t="s">
        <v>1741</v>
      </c>
      <c r="E1126" s="886">
        <v>41090</v>
      </c>
      <c r="F1126" s="192" t="s">
        <v>1536</v>
      </c>
      <c r="G1126" s="888" t="s">
        <v>1028</v>
      </c>
      <c r="H1126" s="7" t="s">
        <v>496</v>
      </c>
      <c r="I1126" s="252">
        <v>902</v>
      </c>
      <c r="J1126" s="252">
        <v>9876</v>
      </c>
      <c r="K1126" s="38">
        <f t="shared" si="72"/>
        <v>8908152</v>
      </c>
      <c r="L1126" s="194" t="s">
        <v>284</v>
      </c>
      <c r="M1126" s="194" t="s">
        <v>185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70"/>
        <v>6</v>
      </c>
      <c r="C1127" s="191">
        <f t="shared" si="71"/>
        <v>41090</v>
      </c>
      <c r="D1127" s="191" t="s">
        <v>1741</v>
      </c>
      <c r="E1127" s="886">
        <v>41090</v>
      </c>
      <c r="F1127" s="192" t="s">
        <v>1539</v>
      </c>
      <c r="G1127" s="888" t="s">
        <v>1028</v>
      </c>
      <c r="H1127" s="7" t="s">
        <v>496</v>
      </c>
      <c r="I1127" s="252">
        <v>456</v>
      </c>
      <c r="J1127" s="252">
        <v>8510</v>
      </c>
      <c r="K1127" s="38">
        <f t="shared" si="72"/>
        <v>3880560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70"/>
        <v>6</v>
      </c>
      <c r="C1128" s="191">
        <f t="shared" si="71"/>
        <v>41090</v>
      </c>
      <c r="D1128" s="191" t="s">
        <v>1741</v>
      </c>
      <c r="E1128" s="886">
        <v>41090</v>
      </c>
      <c r="F1128" s="192" t="s">
        <v>1527</v>
      </c>
      <c r="G1128" s="888" t="s">
        <v>1028</v>
      </c>
      <c r="H1128" s="7" t="s">
        <v>496</v>
      </c>
      <c r="I1128" s="252">
        <v>480</v>
      </c>
      <c r="J1128" s="252">
        <v>10097</v>
      </c>
      <c r="K1128" s="38">
        <f t="shared" si="72"/>
        <v>4846560</v>
      </c>
      <c r="L1128" s="194" t="s">
        <v>284</v>
      </c>
      <c r="M1128" s="194" t="s">
        <v>185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70"/>
        <v>6</v>
      </c>
      <c r="C1129" s="191">
        <f t="shared" si="71"/>
        <v>41090</v>
      </c>
      <c r="D1129" s="191" t="s">
        <v>1741</v>
      </c>
      <c r="E1129" s="886">
        <v>41090</v>
      </c>
      <c r="F1129" s="192" t="s">
        <v>1527</v>
      </c>
      <c r="G1129" s="888" t="s">
        <v>1028</v>
      </c>
      <c r="H1129" s="7" t="s">
        <v>496</v>
      </c>
      <c r="I1129" s="252">
        <v>579</v>
      </c>
      <c r="J1129" s="252">
        <v>11131</v>
      </c>
      <c r="K1129" s="38">
        <f t="shared" si="72"/>
        <v>6444849</v>
      </c>
      <c r="L1129" s="194" t="s">
        <v>284</v>
      </c>
      <c r="M1129" s="194" t="s">
        <v>185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</row>
    <row r="1130" spans="1:30" ht="15.75" customHeight="1">
      <c r="A1130" s="204" t="str">
        <f>IF(B1130&lt;&gt;"",IF(AND(B1130&gt;=_TM1,B1130&lt;=_TM2,OR(TH!L1130="1111",TH!M1130="1111")),TH!D1130,""),"")</f>
        <v/>
      </c>
      <c r="B1130" s="36">
        <f t="shared" si="70"/>
        <v>6</v>
      </c>
      <c r="C1130" s="191">
        <f t="shared" si="71"/>
        <v>41090</v>
      </c>
      <c r="D1130" s="191" t="s">
        <v>1741</v>
      </c>
      <c r="E1130" s="886">
        <v>41090</v>
      </c>
      <c r="F1130" s="192" t="s">
        <v>1503</v>
      </c>
      <c r="G1130" s="888" t="s">
        <v>1028</v>
      </c>
      <c r="H1130" s="7" t="s">
        <v>496</v>
      </c>
      <c r="I1130" s="252">
        <v>170</v>
      </c>
      <c r="J1130" s="252">
        <v>8623</v>
      </c>
      <c r="K1130" s="38">
        <f t="shared" si="72"/>
        <v>1465910</v>
      </c>
      <c r="L1130" s="194" t="s">
        <v>284</v>
      </c>
      <c r="M1130" s="194" t="s">
        <v>185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211"/>
      <c r="AB1130" s="211"/>
      <c r="AC1130" s="211"/>
      <c r="AD1130" s="211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0"/>
        <v>6</v>
      </c>
      <c r="C1131" s="191">
        <f t="shared" si="71"/>
        <v>41090</v>
      </c>
      <c r="D1131" s="191" t="s">
        <v>1741</v>
      </c>
      <c r="E1131" s="886">
        <v>41090</v>
      </c>
      <c r="F1131" s="192" t="s">
        <v>1512</v>
      </c>
      <c r="G1131" s="888" t="s">
        <v>1028</v>
      </c>
      <c r="H1131" s="7" t="s">
        <v>496</v>
      </c>
      <c r="I1131" s="252">
        <v>260</v>
      </c>
      <c r="J1131" s="252">
        <v>9344</v>
      </c>
      <c r="K1131" s="38">
        <f t="shared" si="72"/>
        <v>2429440</v>
      </c>
      <c r="L1131" s="194" t="s">
        <v>284</v>
      </c>
      <c r="M1131" s="194" t="s">
        <v>185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</row>
    <row r="1132" spans="1:30" ht="15.75" customHeight="1">
      <c r="A1132" s="204" t="str">
        <f>IF(B1132&lt;&gt;"",IF(AND(B1132&gt;=_TM1,B1132&lt;=_TM2,OR(TH!L1132="1111",TH!M1132="1111")),TH!D1132,""),"")</f>
        <v/>
      </c>
      <c r="B1132" s="36">
        <f t="shared" si="70"/>
        <v>6</v>
      </c>
      <c r="C1132" s="191">
        <f t="shared" si="71"/>
        <v>41090</v>
      </c>
      <c r="D1132" s="191" t="s">
        <v>1741</v>
      </c>
      <c r="E1132" s="886">
        <v>41090</v>
      </c>
      <c r="F1132" s="192" t="s">
        <v>1515</v>
      </c>
      <c r="G1132" s="888" t="s">
        <v>1028</v>
      </c>
      <c r="H1132" s="7" t="s">
        <v>496</v>
      </c>
      <c r="I1132" s="252">
        <v>245</v>
      </c>
      <c r="J1132" s="252">
        <v>11990</v>
      </c>
      <c r="K1132" s="38">
        <f t="shared" si="72"/>
        <v>2937550</v>
      </c>
      <c r="L1132" s="194" t="s">
        <v>284</v>
      </c>
      <c r="M1132" s="194" t="s">
        <v>185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211"/>
      <c r="AB1132" s="211"/>
      <c r="AC1132" s="211"/>
      <c r="AD1132" s="211"/>
    </row>
    <row r="1133" spans="1:30" ht="15.75" customHeight="1">
      <c r="A1133" s="204" t="str">
        <f>IF(B1133&lt;&gt;"",IF(AND(B1133&gt;=_TM1,B1133&lt;=_TM2,OR(TH!L1133="1111",TH!M1133="1111")),TH!D1133,""),"")</f>
        <v/>
      </c>
      <c r="B1133" s="36">
        <f t="shared" si="70"/>
        <v>6</v>
      </c>
      <c r="C1133" s="191">
        <f t="shared" si="71"/>
        <v>41090</v>
      </c>
      <c r="D1133" s="191" t="s">
        <v>1741</v>
      </c>
      <c r="E1133" s="886">
        <v>41090</v>
      </c>
      <c r="F1133" s="192" t="s">
        <v>1540</v>
      </c>
      <c r="G1133" s="888" t="s">
        <v>1028</v>
      </c>
      <c r="H1133" s="7" t="s">
        <v>496</v>
      </c>
      <c r="I1133" s="252">
        <v>540</v>
      </c>
      <c r="J1133" s="252">
        <v>12439</v>
      </c>
      <c r="K1133" s="38">
        <f t="shared" si="72"/>
        <v>6717060</v>
      </c>
      <c r="L1133" s="194" t="s">
        <v>284</v>
      </c>
      <c r="M1133" s="194" t="s">
        <v>185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211"/>
      <c r="AB1133" s="211"/>
      <c r="AC1133" s="211"/>
      <c r="AD1133" s="211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0"/>
        <v>6</v>
      </c>
      <c r="C1134" s="191">
        <f t="shared" si="71"/>
        <v>41090</v>
      </c>
      <c r="D1134" s="191" t="s">
        <v>1741</v>
      </c>
      <c r="E1134" s="886">
        <v>41090</v>
      </c>
      <c r="F1134" s="192" t="s">
        <v>1502</v>
      </c>
      <c r="G1134" s="888" t="s">
        <v>1028</v>
      </c>
      <c r="H1134" s="7" t="s">
        <v>496</v>
      </c>
      <c r="I1134" s="252">
        <v>580</v>
      </c>
      <c r="J1134" s="252">
        <v>8975</v>
      </c>
      <c r="K1134" s="38">
        <f t="shared" si="72"/>
        <v>5205500</v>
      </c>
      <c r="L1134" s="194" t="s">
        <v>284</v>
      </c>
      <c r="M1134" s="194" t="s">
        <v>185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</row>
    <row r="1135" spans="1:30" ht="15.75" customHeight="1">
      <c r="A1135" s="204" t="str">
        <f>IF(B1135&lt;&gt;"",IF(AND(B1135&gt;=_TM1,B1135&lt;=_TM2,OR(TH!L1135="1111",TH!M1135="1111")),TH!D1135,""),"")</f>
        <v/>
      </c>
      <c r="B1135" s="36">
        <f t="shared" si="70"/>
        <v>6</v>
      </c>
      <c r="C1135" s="191">
        <f t="shared" si="71"/>
        <v>41090</v>
      </c>
      <c r="D1135" s="191" t="s">
        <v>1742</v>
      </c>
      <c r="E1135" s="886">
        <v>41090</v>
      </c>
      <c r="F1135" s="192" t="s">
        <v>1537</v>
      </c>
      <c r="G1135" s="888" t="s">
        <v>1028</v>
      </c>
      <c r="H1135" s="7" t="s">
        <v>496</v>
      </c>
      <c r="I1135" s="252">
        <v>470</v>
      </c>
      <c r="J1135" s="252">
        <v>9697</v>
      </c>
      <c r="K1135" s="38">
        <f t="shared" si="72"/>
        <v>4557590</v>
      </c>
      <c r="L1135" s="194" t="s">
        <v>284</v>
      </c>
      <c r="M1135" s="194" t="s">
        <v>185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211"/>
      <c r="AB1135" s="211"/>
      <c r="AC1135" s="211"/>
      <c r="AD1135" s="211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0"/>
        <v>6</v>
      </c>
      <c r="C1136" s="191">
        <f t="shared" si="71"/>
        <v>41090</v>
      </c>
      <c r="D1136" s="191" t="s">
        <v>1742</v>
      </c>
      <c r="E1136" s="886">
        <v>41090</v>
      </c>
      <c r="F1136" s="192" t="s">
        <v>1514</v>
      </c>
      <c r="G1136" s="888" t="s">
        <v>1028</v>
      </c>
      <c r="H1136" s="7" t="s">
        <v>496</v>
      </c>
      <c r="I1136" s="252">
        <v>170</v>
      </c>
      <c r="J1136" s="252">
        <v>13563</v>
      </c>
      <c r="K1136" s="38">
        <f t="shared" si="72"/>
        <v>2305710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</row>
    <row r="1137" spans="1:30" ht="15.75" customHeight="1">
      <c r="A1137" s="204" t="str">
        <f>IF(B1137&lt;&gt;"",IF(AND(B1137&gt;=_TM1,B1137&lt;=_TM2,OR(TH!L1137="1111",TH!M1137="1111")),TH!D1137,""),"")</f>
        <v/>
      </c>
      <c r="B1137" s="36">
        <f t="shared" si="70"/>
        <v>6</v>
      </c>
      <c r="C1137" s="191">
        <f t="shared" si="71"/>
        <v>41090</v>
      </c>
      <c r="D1137" s="191" t="s">
        <v>1742</v>
      </c>
      <c r="E1137" s="886">
        <v>41090</v>
      </c>
      <c r="F1137" s="192" t="s">
        <v>1541</v>
      </c>
      <c r="G1137" s="888" t="s">
        <v>1028</v>
      </c>
      <c r="H1137" s="7" t="s">
        <v>496</v>
      </c>
      <c r="I1137" s="252">
        <v>250</v>
      </c>
      <c r="J1137" s="252">
        <v>12370</v>
      </c>
      <c r="K1137" s="38">
        <f t="shared" si="72"/>
        <v>3092500</v>
      </c>
      <c r="L1137" s="194" t="s">
        <v>284</v>
      </c>
      <c r="M1137" s="194" t="s">
        <v>185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211"/>
      <c r="AB1137" s="211"/>
      <c r="AC1137" s="211"/>
      <c r="AD1137" s="211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0"/>
        <v>6</v>
      </c>
      <c r="C1138" s="191">
        <f t="shared" si="71"/>
        <v>41090</v>
      </c>
      <c r="D1138" s="191" t="s">
        <v>1742</v>
      </c>
      <c r="E1138" s="886">
        <v>41090</v>
      </c>
      <c r="F1138" s="192" t="s">
        <v>1504</v>
      </c>
      <c r="G1138" s="888" t="s">
        <v>1028</v>
      </c>
      <c r="H1138" s="7" t="s">
        <v>496</v>
      </c>
      <c r="I1138" s="252">
        <v>244</v>
      </c>
      <c r="J1138" s="252">
        <v>10539</v>
      </c>
      <c r="K1138" s="38">
        <f t="shared" si="72"/>
        <v>2571516</v>
      </c>
      <c r="L1138" s="194" t="s">
        <v>284</v>
      </c>
      <c r="M1138" s="194" t="s">
        <v>185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0"/>
        <v>6</v>
      </c>
      <c r="C1139" s="191">
        <f t="shared" si="71"/>
        <v>41090</v>
      </c>
      <c r="D1139" s="191" t="s">
        <v>1742</v>
      </c>
      <c r="E1139" s="886">
        <v>41090</v>
      </c>
      <c r="F1139" s="192" t="s">
        <v>1505</v>
      </c>
      <c r="G1139" s="888" t="s">
        <v>1028</v>
      </c>
      <c r="H1139" s="7" t="s">
        <v>496</v>
      </c>
      <c r="I1139" s="252">
        <v>180</v>
      </c>
      <c r="J1139" s="252">
        <v>11625.92</v>
      </c>
      <c r="K1139" s="38">
        <f t="shared" si="72"/>
        <v>2092666</v>
      </c>
      <c r="L1139" s="194" t="s">
        <v>284</v>
      </c>
      <c r="M1139" s="194" t="s">
        <v>185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</row>
    <row r="1140" spans="1:30" ht="15.75" customHeight="1">
      <c r="A1140" s="204" t="str">
        <f>IF(B1140&lt;&gt;"",IF(AND(B1140&gt;=_TM1,B1140&lt;=_TM2,OR(TH!L1140="1111",TH!M1140="1111")),TH!D1140,""),"")</f>
        <v/>
      </c>
      <c r="B1140" s="36">
        <f t="shared" si="70"/>
        <v>6</v>
      </c>
      <c r="C1140" s="191">
        <f t="shared" si="71"/>
        <v>41090</v>
      </c>
      <c r="D1140" s="191" t="s">
        <v>1742</v>
      </c>
      <c r="E1140" s="191">
        <v>41090</v>
      </c>
      <c r="F1140" s="192" t="s">
        <v>555</v>
      </c>
      <c r="G1140" s="888" t="s">
        <v>1028</v>
      </c>
      <c r="H1140" s="7" t="s">
        <v>496</v>
      </c>
      <c r="I1140" s="252"/>
      <c r="J1140" s="252"/>
      <c r="K1140" s="38">
        <v>6856279</v>
      </c>
      <c r="L1140" s="194" t="s">
        <v>284</v>
      </c>
      <c r="M1140" s="194" t="s">
        <v>495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B1140" s="906"/>
      <c r="AC1140" s="906">
        <f>AB1140-SUM(K1124:K1139)</f>
        <v>-68562790</v>
      </c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f t="shared" si="71"/>
        <v>41091</v>
      </c>
      <c r="D1141" s="184" t="s">
        <v>410</v>
      </c>
      <c r="E1141" s="191">
        <v>41091</v>
      </c>
      <c r="F1141" s="192" t="s">
        <v>400</v>
      </c>
      <c r="G1141" s="490" t="s">
        <v>783</v>
      </c>
      <c r="H1141" s="7" t="s">
        <v>436</v>
      </c>
      <c r="I1141" s="252"/>
      <c r="J1141" s="252"/>
      <c r="K1141" s="38">
        <v>13000000</v>
      </c>
      <c r="L1141" s="616" t="s">
        <v>8</v>
      </c>
      <c r="M1141" s="616" t="s">
        <v>48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/>
      <c r="AB1141" s="198"/>
      <c r="AC1141" s="198"/>
      <c r="AD1141" s="198"/>
    </row>
    <row r="1142" spans="1:30" ht="15.75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740">
        <f t="shared" si="71"/>
        <v>41091</v>
      </c>
      <c r="D1142" s="740" t="s">
        <v>367</v>
      </c>
      <c r="E1142" s="853">
        <v>41091</v>
      </c>
      <c r="F1142" s="741" t="s">
        <v>509</v>
      </c>
      <c r="G1142" s="742"/>
      <c r="H1142" s="629"/>
      <c r="I1142" s="487"/>
      <c r="J1142" s="487"/>
      <c r="K1142" s="743">
        <v>18250000</v>
      </c>
      <c r="L1142" s="744" t="s">
        <v>175</v>
      </c>
      <c r="M1142" s="744" t="s">
        <v>285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606"/>
      <c r="AB1142" s="606"/>
      <c r="AC1142" s="606"/>
      <c r="AD1142" s="606"/>
    </row>
    <row r="1143" spans="1:30" ht="15.75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v>41092</v>
      </c>
      <c r="D1143" s="191" t="s">
        <v>364</v>
      </c>
      <c r="E1143" s="191">
        <v>41092</v>
      </c>
      <c r="F1143" s="192" t="s">
        <v>400</v>
      </c>
      <c r="G1143" s="490" t="s">
        <v>361</v>
      </c>
      <c r="H1143" s="7" t="s">
        <v>436</v>
      </c>
      <c r="I1143" s="252"/>
      <c r="J1143" s="252"/>
      <c r="K1143" s="38">
        <v>9592000</v>
      </c>
      <c r="L1143" s="616" t="s">
        <v>8</v>
      </c>
      <c r="M1143" s="194" t="s">
        <v>24</v>
      </c>
      <c r="N1143" s="52" t="str">
        <f>IF(AND('331-CT'!$E$7=TH!H1143,OR(L1143="331",M1143="331")),"331",IF(AND(OR(L1143="131",M1143="131"),H1143='131-CT'!$E$7),"131",""))</f>
        <v>331</v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>x</v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v>41092</v>
      </c>
      <c r="D1144" s="191" t="s">
        <v>364</v>
      </c>
      <c r="E1144" s="191">
        <v>41092</v>
      </c>
      <c r="F1144" s="192" t="s">
        <v>400</v>
      </c>
      <c r="G1144" s="490" t="s">
        <v>361</v>
      </c>
      <c r="H1144" s="7" t="s">
        <v>436</v>
      </c>
      <c r="I1144" s="252"/>
      <c r="J1144" s="252"/>
      <c r="K1144" s="38">
        <v>75924100</v>
      </c>
      <c r="L1144" s="616" t="s">
        <v>8</v>
      </c>
      <c r="M1144" s="194" t="s">
        <v>24</v>
      </c>
      <c r="N1144" s="52" t="str">
        <f>IF(AND('331-CT'!$E$7=TH!H1144,OR(L1144="331",M1144="331")),"331",IF(AND(OR(L1144="131",M1144="131"),H1144='131-CT'!$E$7),"131",""))</f>
        <v>331</v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>x</v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0"/>
        <v>7</v>
      </c>
      <c r="C1145" s="191">
        <v>41092</v>
      </c>
      <c r="D1145" s="191" t="s">
        <v>364</v>
      </c>
      <c r="E1145" s="191">
        <v>41092</v>
      </c>
      <c r="F1145" s="192" t="s">
        <v>366</v>
      </c>
      <c r="G1145" s="490" t="s">
        <v>361</v>
      </c>
      <c r="H1145" s="193"/>
      <c r="I1145" s="252"/>
      <c r="J1145" s="252"/>
      <c r="K1145" s="38">
        <v>37962</v>
      </c>
      <c r="L1145" s="194" t="s">
        <v>84</v>
      </c>
      <c r="M1145" s="194" t="s">
        <v>24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>x</v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198"/>
      <c r="AB1145" s="198"/>
      <c r="AC1145" s="198"/>
      <c r="AD1145" s="198"/>
    </row>
    <row r="1146" spans="1:30" ht="15.75" customHeight="1">
      <c r="A1146" s="204" t="str">
        <f>IF(B1146&lt;&gt;"",IF(AND(B1146&gt;=_TM1,B1146&lt;=_TM2,OR(TH!L1146="1111",TH!M1146="1111")),TH!D1146,""),"")</f>
        <v/>
      </c>
      <c r="B1146" s="36">
        <f t="shared" si="70"/>
        <v>7</v>
      </c>
      <c r="C1146" s="191">
        <v>41092</v>
      </c>
      <c r="D1146" s="191" t="s">
        <v>364</v>
      </c>
      <c r="E1146" s="191">
        <v>41092</v>
      </c>
      <c r="F1146" s="192" t="s">
        <v>730</v>
      </c>
      <c r="G1146" s="490" t="s">
        <v>361</v>
      </c>
      <c r="H1146" s="193"/>
      <c r="I1146" s="252"/>
      <c r="J1146" s="252"/>
      <c r="K1146" s="38">
        <v>10000</v>
      </c>
      <c r="L1146" s="194" t="s">
        <v>84</v>
      </c>
      <c r="M1146" s="194" t="s">
        <v>24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>x</v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30" ht="15.75" customHeight="1">
      <c r="A1147" s="204" t="str">
        <f>IF(B1147&lt;&gt;"",IF(AND(B1147&gt;=_TM1,B1147&lt;=_TM2,OR(TH!L1147="1111",TH!M1147="1111")),TH!D1147,""),"")</f>
        <v/>
      </c>
      <c r="B1147" s="36">
        <f t="shared" si="70"/>
        <v>7</v>
      </c>
      <c r="C1147" s="191">
        <v>41092</v>
      </c>
      <c r="D1147" s="191" t="s">
        <v>461</v>
      </c>
      <c r="E1147" s="191">
        <v>41092</v>
      </c>
      <c r="F1147" s="192" t="s">
        <v>1368</v>
      </c>
      <c r="G1147" s="490" t="s">
        <v>804</v>
      </c>
      <c r="H1147" s="7" t="s">
        <v>436</v>
      </c>
      <c r="I1147" s="252">
        <v>150</v>
      </c>
      <c r="J1147" s="252">
        <v>11227</v>
      </c>
      <c r="K1147" s="38">
        <v>1684050</v>
      </c>
      <c r="L1147" s="194" t="s">
        <v>169</v>
      </c>
      <c r="M1147" s="616" t="s">
        <v>8</v>
      </c>
      <c r="N1147" s="52" t="str">
        <f>IF(AND('331-CT'!$E$7=TH!H1147,OR(L1147="331",M1147="331")),"331",IF(AND(OR(L1147="131",M1147="131"),H1147='131-CT'!$E$7),"131",""))</f>
        <v>331</v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B1147" s="606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0"/>
        <v>7</v>
      </c>
      <c r="C1148" s="191">
        <v>41092</v>
      </c>
      <c r="D1148" s="191" t="s">
        <v>461</v>
      </c>
      <c r="E1148" s="191">
        <v>41092</v>
      </c>
      <c r="F1148" s="192" t="s">
        <v>1453</v>
      </c>
      <c r="G1148" s="490" t="s">
        <v>804</v>
      </c>
      <c r="H1148" s="7" t="s">
        <v>436</v>
      </c>
      <c r="I1148" s="252">
        <v>500</v>
      </c>
      <c r="J1148" s="252">
        <v>9377</v>
      </c>
      <c r="K1148" s="38">
        <v>4688500</v>
      </c>
      <c r="L1148" s="194" t="s">
        <v>169</v>
      </c>
      <c r="M1148" s="616" t="s">
        <v>8</v>
      </c>
      <c r="N1148" s="52" t="str">
        <f>IF(AND('331-CT'!$E$7=TH!H1148,OR(L1148="331",M1148="331")),"331",IF(AND(OR(L1148="131",M1148="131"),H1148='131-CT'!$E$7),"131",""))</f>
        <v>331</v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198"/>
      <c r="AB1148" s="606"/>
      <c r="AC1148" s="198"/>
      <c r="AD1148" s="198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0"/>
        <v>7</v>
      </c>
      <c r="C1149" s="191">
        <v>41092</v>
      </c>
      <c r="D1149" s="191" t="s">
        <v>461</v>
      </c>
      <c r="E1149" s="191">
        <v>41092</v>
      </c>
      <c r="F1149" s="192" t="s">
        <v>1337</v>
      </c>
      <c r="G1149" s="490" t="s">
        <v>804</v>
      </c>
      <c r="H1149" s="7" t="s">
        <v>436</v>
      </c>
      <c r="I1149" s="252">
        <v>110</v>
      </c>
      <c r="J1149" s="252">
        <v>13590</v>
      </c>
      <c r="K1149" s="38">
        <v>1494900</v>
      </c>
      <c r="L1149" s="194" t="s">
        <v>169</v>
      </c>
      <c r="M1149" s="616" t="s">
        <v>8</v>
      </c>
      <c r="N1149" s="52" t="str">
        <f>IF(AND('331-CT'!$E$7=TH!H1149,OR(L1149="331",M1149="331")),"331",IF(AND(OR(L1149="131",M1149="131"),H1149='131-CT'!$E$7),"131",""))</f>
        <v>331</v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198"/>
      <c r="AB1149" s="606"/>
      <c r="AC1149" s="198"/>
      <c r="AD1149" s="198"/>
    </row>
    <row r="1150" spans="1:30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0"/>
        <v>7</v>
      </c>
      <c r="C1150" s="191">
        <v>41092</v>
      </c>
      <c r="D1150" s="191" t="s">
        <v>461</v>
      </c>
      <c r="E1150" s="191">
        <v>41092</v>
      </c>
      <c r="F1150" s="192" t="s">
        <v>1338</v>
      </c>
      <c r="G1150" s="490" t="s">
        <v>804</v>
      </c>
      <c r="H1150" s="7" t="s">
        <v>436</v>
      </c>
      <c r="I1150" s="252">
        <v>150</v>
      </c>
      <c r="J1150" s="252">
        <v>20776</v>
      </c>
      <c r="K1150" s="38">
        <v>3116400</v>
      </c>
      <c r="L1150" s="194" t="s">
        <v>169</v>
      </c>
      <c r="M1150" s="616" t="s">
        <v>8</v>
      </c>
      <c r="N1150" s="52" t="str">
        <f>IF(AND('331-CT'!$E$7=TH!H1150,OR(L1150="331",M1150="331")),"331",IF(AND(OR(L1150="131",M1150="131"),H1150='131-CT'!$E$7),"131",""))</f>
        <v>331</v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606"/>
      <c r="AC1150" s="198"/>
      <c r="AD1150" s="198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0"/>
        <v>7</v>
      </c>
      <c r="C1151" s="191">
        <v>41092</v>
      </c>
      <c r="D1151" s="191" t="s">
        <v>461</v>
      </c>
      <c r="E1151" s="191">
        <v>41092</v>
      </c>
      <c r="F1151" s="192" t="s">
        <v>1316</v>
      </c>
      <c r="G1151" s="490" t="s">
        <v>804</v>
      </c>
      <c r="H1151" s="7" t="s">
        <v>436</v>
      </c>
      <c r="I1151" s="252">
        <v>205</v>
      </c>
      <c r="J1151" s="252">
        <v>21119</v>
      </c>
      <c r="K1151" s="38">
        <v>4329395</v>
      </c>
      <c r="L1151" s="194" t="s">
        <v>169</v>
      </c>
      <c r="M1151" s="616" t="s">
        <v>8</v>
      </c>
      <c r="N1151" s="52" t="str">
        <f>IF(AND('331-CT'!$E$7=TH!H1151,OR(L1151="331",M1151="331")),"331",IF(AND(OR(L1151="131",M1151="131"),H1151='131-CT'!$E$7),"131",""))</f>
        <v>331</v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198"/>
      <c r="AB1151" s="606"/>
      <c r="AC1151" s="198"/>
      <c r="AD1151" s="198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0"/>
        <v>7</v>
      </c>
      <c r="C1152" s="191">
        <v>41092</v>
      </c>
      <c r="D1152" s="191" t="s">
        <v>461</v>
      </c>
      <c r="E1152" s="191">
        <v>41092</v>
      </c>
      <c r="F1152" s="192" t="s">
        <v>566</v>
      </c>
      <c r="G1152" s="490" t="s">
        <v>804</v>
      </c>
      <c r="H1152" s="7" t="s">
        <v>436</v>
      </c>
      <c r="I1152" s="252"/>
      <c r="J1152" s="252"/>
      <c r="K1152" s="38">
        <v>1531325</v>
      </c>
      <c r="L1152" s="194" t="s">
        <v>9</v>
      </c>
      <c r="M1152" s="616" t="s">
        <v>8</v>
      </c>
      <c r="N1152" s="52" t="str">
        <f>IF(AND('331-CT'!$E$7=TH!H1152,OR(L1152="331",M1152="331")),"331",IF(AND(OR(L1152="131",M1152="131"),H1152='131-CT'!$E$7),"131",""))</f>
        <v>331</v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198">
        <v>7</v>
      </c>
      <c r="AB1152" s="198"/>
      <c r="AC1152" s="198"/>
      <c r="AD1152" s="198"/>
    </row>
    <row r="1153" spans="1:30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0"/>
        <v>7</v>
      </c>
      <c r="C1153" s="191">
        <v>41092</v>
      </c>
      <c r="D1153" s="191" t="s">
        <v>411</v>
      </c>
      <c r="E1153" s="191">
        <v>41092</v>
      </c>
      <c r="F1153" s="192" t="s">
        <v>400</v>
      </c>
      <c r="G1153" s="490" t="s">
        <v>804</v>
      </c>
      <c r="H1153" s="7" t="s">
        <v>436</v>
      </c>
      <c r="I1153" s="252"/>
      <c r="J1153" s="252"/>
      <c r="K1153" s="38">
        <v>16844570</v>
      </c>
      <c r="L1153" s="616" t="s">
        <v>8</v>
      </c>
      <c r="M1153" s="616" t="s">
        <v>48</v>
      </c>
      <c r="N1153" s="52" t="str">
        <f>IF(AND('331-CT'!$E$7=TH!H1153,OR(L1153="331",M1153="331")),"331",IF(AND(OR(L1153="131",M1153="131"),H1153='131-CT'!$E$7),"131",""))</f>
        <v>331</v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198"/>
      <c r="AB1153" s="198"/>
      <c r="AC1153" s="198"/>
      <c r="AD1153" s="198"/>
    </row>
    <row r="1154" spans="1:30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0"/>
        <v>7</v>
      </c>
      <c r="C1154" s="191">
        <f>E1154</f>
        <v>41092</v>
      </c>
      <c r="D1154" s="191" t="s">
        <v>1585</v>
      </c>
      <c r="E1154" s="191">
        <v>41092</v>
      </c>
      <c r="F1154" s="192" t="s">
        <v>1170</v>
      </c>
      <c r="G1154" s="490" t="s">
        <v>1029</v>
      </c>
      <c r="H1154" s="210" t="s">
        <v>792</v>
      </c>
      <c r="I1154" s="252">
        <v>1000</v>
      </c>
      <c r="J1154" s="252">
        <v>6400</v>
      </c>
      <c r="K1154" s="38">
        <f>ROUND(I1154*J1154,0)</f>
        <v>6400000</v>
      </c>
      <c r="L1154" s="194" t="s">
        <v>284</v>
      </c>
      <c r="M1154" s="194" t="s">
        <v>185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30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0"/>
        <v>7</v>
      </c>
      <c r="C1155" s="191">
        <f>E1155</f>
        <v>41092</v>
      </c>
      <c r="D1155" s="191" t="s">
        <v>1585</v>
      </c>
      <c r="E1155" s="191">
        <v>41092</v>
      </c>
      <c r="F1155" s="192" t="s">
        <v>555</v>
      </c>
      <c r="G1155" s="490" t="s">
        <v>1029</v>
      </c>
      <c r="H1155" s="210" t="s">
        <v>792</v>
      </c>
      <c r="I1155" s="254"/>
      <c r="J1155" s="254"/>
      <c r="K1155" s="38">
        <v>640000</v>
      </c>
      <c r="L1155" s="194" t="s">
        <v>284</v>
      </c>
      <c r="M1155" s="194" t="s">
        <v>495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198"/>
      <c r="AB1155" s="198"/>
      <c r="AC1155" s="198"/>
      <c r="AD1155" s="198"/>
    </row>
    <row r="1156" spans="1:30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70"/>
        <v>7</v>
      </c>
      <c r="C1156" s="191">
        <v>41093</v>
      </c>
      <c r="D1156" s="191" t="s">
        <v>412</v>
      </c>
      <c r="E1156" s="191">
        <v>41093</v>
      </c>
      <c r="F1156" s="192" t="s">
        <v>689</v>
      </c>
      <c r="G1156" s="490" t="s">
        <v>805</v>
      </c>
      <c r="H1156" s="193" t="s">
        <v>401</v>
      </c>
      <c r="I1156" s="252"/>
      <c r="J1156" s="252"/>
      <c r="K1156" s="38">
        <v>2600000</v>
      </c>
      <c r="L1156" s="194" t="s">
        <v>175</v>
      </c>
      <c r="M1156" s="194" t="s">
        <v>48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70"/>
        <v>7</v>
      </c>
      <c r="C1157" s="191">
        <v>41093</v>
      </c>
      <c r="D1157" s="191" t="s">
        <v>412</v>
      </c>
      <c r="E1157" s="191">
        <v>41093</v>
      </c>
      <c r="F1157" s="192" t="s">
        <v>372</v>
      </c>
      <c r="G1157" s="490" t="s">
        <v>805</v>
      </c>
      <c r="H1157" s="193" t="s">
        <v>401</v>
      </c>
      <c r="I1157" s="252"/>
      <c r="J1157" s="252"/>
      <c r="K1157" s="38">
        <v>260000</v>
      </c>
      <c r="L1157" s="194" t="s">
        <v>9</v>
      </c>
      <c r="M1157" s="194" t="s">
        <v>48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>
        <v>7</v>
      </c>
      <c r="AB1157" s="198"/>
      <c r="AC1157" s="198"/>
      <c r="AD1157" s="198"/>
    </row>
    <row r="1158" spans="1:30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70"/>
        <v>7</v>
      </c>
      <c r="C1158" s="191">
        <v>41093</v>
      </c>
      <c r="D1158" s="191" t="s">
        <v>462</v>
      </c>
      <c r="E1158" s="191">
        <v>41093</v>
      </c>
      <c r="F1158" s="192" t="s">
        <v>1454</v>
      </c>
      <c r="G1158" s="192" t="s">
        <v>806</v>
      </c>
      <c r="H1158" s="7" t="s">
        <v>436</v>
      </c>
      <c r="I1158" s="252">
        <v>350</v>
      </c>
      <c r="J1158" s="252">
        <v>14456</v>
      </c>
      <c r="K1158" s="38">
        <v>5059600</v>
      </c>
      <c r="L1158" s="194" t="s">
        <v>169</v>
      </c>
      <c r="M1158" s="616" t="s">
        <v>8</v>
      </c>
      <c r="N1158" s="52" t="str">
        <f>IF(AND('331-CT'!$E$7=TH!H1158,OR(L1158="331",M1158="331")),"331",IF(AND(OR(L1158="131",M1158="131"),H1158='131-CT'!$E$7),"131",""))</f>
        <v>331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198"/>
      <c r="AB1158" s="606"/>
      <c r="AC1158" s="198"/>
      <c r="AD1158" s="198"/>
    </row>
    <row r="1159" spans="1:30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70"/>
        <v>7</v>
      </c>
      <c r="C1159" s="191">
        <v>41093</v>
      </c>
      <c r="D1159" s="191" t="s">
        <v>462</v>
      </c>
      <c r="E1159" s="191">
        <v>41093</v>
      </c>
      <c r="F1159" s="192" t="s">
        <v>1339</v>
      </c>
      <c r="G1159" s="192" t="s">
        <v>806</v>
      </c>
      <c r="H1159" s="7" t="s">
        <v>436</v>
      </c>
      <c r="I1159" s="252">
        <v>250</v>
      </c>
      <c r="J1159" s="252">
        <v>13999</v>
      </c>
      <c r="K1159" s="38">
        <v>3499750</v>
      </c>
      <c r="L1159" s="194" t="s">
        <v>169</v>
      </c>
      <c r="M1159" s="616" t="s">
        <v>8</v>
      </c>
      <c r="N1159" s="52" t="str">
        <f>IF(AND('331-CT'!$E$7=TH!H1159,OR(L1159="331",M1159="331")),"331",IF(AND(OR(L1159="131",M1159="131"),H1159='131-CT'!$E$7),"131",""))</f>
        <v>331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198"/>
      <c r="AB1159" s="606"/>
      <c r="AC1159" s="198"/>
      <c r="AD1159" s="198"/>
    </row>
    <row r="1160" spans="1:30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70"/>
        <v>7</v>
      </c>
      <c r="C1160" s="191">
        <v>41093</v>
      </c>
      <c r="D1160" s="191" t="s">
        <v>462</v>
      </c>
      <c r="E1160" s="191">
        <v>41093</v>
      </c>
      <c r="F1160" s="192" t="s">
        <v>1340</v>
      </c>
      <c r="G1160" s="490" t="s">
        <v>806</v>
      </c>
      <c r="H1160" s="7" t="s">
        <v>436</v>
      </c>
      <c r="I1160" s="252">
        <v>250</v>
      </c>
      <c r="J1160" s="252">
        <v>13619</v>
      </c>
      <c r="K1160" s="38">
        <v>3404750</v>
      </c>
      <c r="L1160" s="194" t="s">
        <v>169</v>
      </c>
      <c r="M1160" s="616" t="s">
        <v>8</v>
      </c>
      <c r="N1160" s="52" t="str">
        <f>IF(AND('331-CT'!$E$7=TH!H1160,OR(L1160="331",M1160="331")),"331",IF(AND(OR(L1160="131",M1160="131"),H1160='131-CT'!$E$7),"131",""))</f>
        <v>331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198"/>
      <c r="AB1160" s="606"/>
      <c r="AC1160" s="198"/>
      <c r="AD1160" s="198"/>
    </row>
    <row r="1161" spans="1:30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70"/>
        <v>7</v>
      </c>
      <c r="C1161" s="191">
        <v>41093</v>
      </c>
      <c r="D1161" s="191" t="s">
        <v>462</v>
      </c>
      <c r="E1161" s="191">
        <v>41093</v>
      </c>
      <c r="F1161" s="192" t="s">
        <v>566</v>
      </c>
      <c r="G1161" s="490" t="s">
        <v>806</v>
      </c>
      <c r="H1161" s="7" t="s">
        <v>436</v>
      </c>
      <c r="I1161" s="252"/>
      <c r="J1161" s="252"/>
      <c r="K1161" s="38">
        <v>1196410</v>
      </c>
      <c r="L1161" s="194" t="s">
        <v>9</v>
      </c>
      <c r="M1161" s="616" t="s">
        <v>8</v>
      </c>
      <c r="N1161" s="52" t="str">
        <f>IF(AND('331-CT'!$E$7=TH!H1161,OR(L1161="331",M1161="331")),"331",IF(AND(OR(L1161="131",M1161="131"),H1161='131-CT'!$E$7),"131",""))</f>
        <v>331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>
        <v>7</v>
      </c>
      <c r="AB1161" s="198"/>
      <c r="AC1161" s="198"/>
      <c r="AD1161" s="198"/>
    </row>
    <row r="1162" spans="1:30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70"/>
        <v>7</v>
      </c>
      <c r="C1162" s="191">
        <v>41093</v>
      </c>
      <c r="D1162" s="191" t="s">
        <v>413</v>
      </c>
      <c r="E1162" s="191">
        <v>41093</v>
      </c>
      <c r="F1162" s="192" t="s">
        <v>400</v>
      </c>
      <c r="G1162" s="490" t="s">
        <v>806</v>
      </c>
      <c r="H1162" s="7" t="s">
        <v>436</v>
      </c>
      <c r="I1162" s="252"/>
      <c r="J1162" s="252"/>
      <c r="K1162" s="38">
        <v>13160510</v>
      </c>
      <c r="L1162" s="616" t="s">
        <v>8</v>
      </c>
      <c r="M1162" s="616" t="s">
        <v>48</v>
      </c>
      <c r="N1162" s="52" t="str">
        <f>IF(AND('331-CT'!$E$7=TH!H1162,OR(L1162="331",M1162="331")),"331",IF(AND(OR(L1162="131",M1162="131"),H1162='131-CT'!$E$7),"131",""))</f>
        <v>331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/>
      <c r="AB1162" s="198"/>
      <c r="AC1162" s="198"/>
      <c r="AD1162" s="198"/>
    </row>
    <row r="1163" spans="1:30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70"/>
        <v>7</v>
      </c>
      <c r="C1163" s="191">
        <f>E1163</f>
        <v>41093</v>
      </c>
      <c r="D1163" s="191" t="s">
        <v>1586</v>
      </c>
      <c r="E1163" s="191">
        <v>41093</v>
      </c>
      <c r="F1163" s="192" t="s">
        <v>551</v>
      </c>
      <c r="G1163" s="490" t="s">
        <v>1030</v>
      </c>
      <c r="H1163" s="193" t="s">
        <v>834</v>
      </c>
      <c r="I1163" s="254">
        <v>700</v>
      </c>
      <c r="J1163" s="254">
        <v>6500</v>
      </c>
      <c r="K1163" s="38">
        <f>ROUND(I1163*J1163,0)</f>
        <v>4550000</v>
      </c>
      <c r="L1163" s="194" t="s">
        <v>284</v>
      </c>
      <c r="M1163" s="194" t="s">
        <v>185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30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70"/>
        <v>7</v>
      </c>
      <c r="C1164" s="191">
        <f>E1164</f>
        <v>41093</v>
      </c>
      <c r="D1164" s="191" t="s">
        <v>1586</v>
      </c>
      <c r="E1164" s="191">
        <v>41093</v>
      </c>
      <c r="F1164" s="192" t="s">
        <v>555</v>
      </c>
      <c r="G1164" s="490" t="s">
        <v>1030</v>
      </c>
      <c r="H1164" s="193" t="s">
        <v>834</v>
      </c>
      <c r="I1164" s="252"/>
      <c r="J1164" s="252"/>
      <c r="K1164" s="38">
        <v>455000</v>
      </c>
      <c r="L1164" s="194" t="s">
        <v>284</v>
      </c>
      <c r="M1164" s="194" t="s">
        <v>495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198"/>
      <c r="AC1164" s="198"/>
      <c r="AD1164" s="198"/>
    </row>
    <row r="1165" spans="1:30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70"/>
        <v>7</v>
      </c>
      <c r="C1165" s="191">
        <v>41095</v>
      </c>
      <c r="D1165" s="191" t="s">
        <v>363</v>
      </c>
      <c r="E1165" s="191">
        <v>41095</v>
      </c>
      <c r="F1165" s="192" t="s">
        <v>365</v>
      </c>
      <c r="G1165" s="490" t="s">
        <v>361</v>
      </c>
      <c r="H1165" s="7" t="s">
        <v>497</v>
      </c>
      <c r="I1165" s="252"/>
      <c r="J1165" s="252"/>
      <c r="K1165" s="38">
        <v>5000000</v>
      </c>
      <c r="L1165" s="194" t="s">
        <v>24</v>
      </c>
      <c r="M1165" s="194" t="s">
        <v>284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>x</v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198"/>
      <c r="AC1165" s="198"/>
      <c r="AD1165" s="198"/>
    </row>
    <row r="1166" spans="1:30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70"/>
        <v>7</v>
      </c>
      <c r="C1166" s="191">
        <v>41095</v>
      </c>
      <c r="D1166" s="191" t="s">
        <v>463</v>
      </c>
      <c r="E1166" s="191">
        <v>41095</v>
      </c>
      <c r="F1166" s="192" t="s">
        <v>1455</v>
      </c>
      <c r="G1166" s="490" t="s">
        <v>807</v>
      </c>
      <c r="H1166" s="7" t="s">
        <v>436</v>
      </c>
      <c r="I1166" s="252">
        <v>340</v>
      </c>
      <c r="J1166" s="252">
        <v>13507</v>
      </c>
      <c r="K1166" s="38">
        <v>4592380</v>
      </c>
      <c r="L1166" s="194" t="s">
        <v>169</v>
      </c>
      <c r="M1166" s="616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/>
      <c r="AB1166" s="606"/>
      <c r="AC1166" s="198"/>
      <c r="AD1166" s="198"/>
    </row>
    <row r="1167" spans="1:30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70"/>
        <v>7</v>
      </c>
      <c r="C1167" s="191">
        <v>41095</v>
      </c>
      <c r="D1167" s="191" t="s">
        <v>463</v>
      </c>
      <c r="E1167" s="191">
        <v>41095</v>
      </c>
      <c r="F1167" s="192" t="s">
        <v>1289</v>
      </c>
      <c r="G1167" s="490" t="s">
        <v>807</v>
      </c>
      <c r="H1167" s="7" t="s">
        <v>436</v>
      </c>
      <c r="I1167" s="252">
        <v>510</v>
      </c>
      <c r="J1167" s="252">
        <v>23149</v>
      </c>
      <c r="K1167" s="38">
        <v>11805990</v>
      </c>
      <c r="L1167" s="194" t="s">
        <v>169</v>
      </c>
      <c r="M1167" s="616" t="s">
        <v>8</v>
      </c>
      <c r="N1167" s="52" t="str">
        <f>IF(AND('331-CT'!$E$7=TH!H1167,OR(L1167="331",M1167="331")),"331",IF(AND(OR(L1167="131",M1167="131"),H1167='131-CT'!$E$7),"131",""))</f>
        <v>331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606"/>
      <c r="AC1167" s="198"/>
      <c r="AD1167" s="198"/>
    </row>
    <row r="1168" spans="1:30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70"/>
        <v>7</v>
      </c>
      <c r="C1168" s="191">
        <v>41095</v>
      </c>
      <c r="D1168" s="191" t="s">
        <v>463</v>
      </c>
      <c r="E1168" s="191">
        <v>41095</v>
      </c>
      <c r="F1168" s="192" t="s">
        <v>566</v>
      </c>
      <c r="G1168" s="490" t="s">
        <v>807</v>
      </c>
      <c r="H1168" s="7" t="s">
        <v>436</v>
      </c>
      <c r="I1168" s="252"/>
      <c r="J1168" s="252"/>
      <c r="K1168" s="38">
        <v>1639837</v>
      </c>
      <c r="L1168" s="194" t="s">
        <v>9</v>
      </c>
      <c r="M1168" s="616" t="s">
        <v>8</v>
      </c>
      <c r="N1168" s="52" t="str">
        <f>IF(AND('331-CT'!$E$7=TH!H1168,OR(L1168="331",M1168="331")),"331",IF(AND(OR(L1168="131",M1168="131"),H1168='131-CT'!$E$7),"131",""))</f>
        <v>331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>
        <v>7</v>
      </c>
      <c r="AB1168" s="198"/>
      <c r="AC1168" s="198"/>
      <c r="AD1168" s="198"/>
    </row>
    <row r="1169" spans="1:30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70"/>
        <v>7</v>
      </c>
      <c r="C1169" s="191">
        <v>41095</v>
      </c>
      <c r="D1169" s="191" t="s">
        <v>414</v>
      </c>
      <c r="E1169" s="191">
        <v>41095</v>
      </c>
      <c r="F1169" s="192" t="s">
        <v>400</v>
      </c>
      <c r="G1169" s="490" t="s">
        <v>807</v>
      </c>
      <c r="H1169" s="7" t="s">
        <v>436</v>
      </c>
      <c r="I1169" s="252"/>
      <c r="J1169" s="252"/>
      <c r="K1169" s="38">
        <v>18038207</v>
      </c>
      <c r="L1169" s="616" t="s">
        <v>8</v>
      </c>
      <c r="M1169" s="616" t="s">
        <v>48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70"/>
        <v>7</v>
      </c>
      <c r="C1170" s="191">
        <f t="shared" ref="C1170:C1186" si="73">E1170</f>
        <v>41095</v>
      </c>
      <c r="D1170" s="191" t="s">
        <v>1587</v>
      </c>
      <c r="E1170" s="191">
        <v>41095</v>
      </c>
      <c r="F1170" s="189" t="s">
        <v>1121</v>
      </c>
      <c r="G1170" s="490" t="s">
        <v>1031</v>
      </c>
      <c r="H1170" s="193" t="s">
        <v>958</v>
      </c>
      <c r="I1170" s="252">
        <v>500</v>
      </c>
      <c r="J1170" s="252">
        <v>8000</v>
      </c>
      <c r="K1170" s="38">
        <f>ROUND(I1170*J1170,0)</f>
        <v>4000000</v>
      </c>
      <c r="L1170" s="194" t="s">
        <v>284</v>
      </c>
      <c r="M1170" s="194" t="s">
        <v>185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70"/>
        <v>7</v>
      </c>
      <c r="C1171" s="191">
        <f t="shared" si="73"/>
        <v>41095</v>
      </c>
      <c r="D1171" s="191" t="s">
        <v>1587</v>
      </c>
      <c r="E1171" s="191">
        <v>41095</v>
      </c>
      <c r="F1171" s="192" t="s">
        <v>555</v>
      </c>
      <c r="G1171" s="490" t="s">
        <v>1031</v>
      </c>
      <c r="H1171" s="193" t="s">
        <v>958</v>
      </c>
      <c r="I1171" s="252"/>
      <c r="J1171" s="252"/>
      <c r="K1171" s="38">
        <v>400000</v>
      </c>
      <c r="L1171" s="194" t="s">
        <v>284</v>
      </c>
      <c r="M1171" s="194" t="s">
        <v>495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70"/>
        <v>7</v>
      </c>
      <c r="C1172" s="191">
        <f t="shared" si="73"/>
        <v>41095</v>
      </c>
      <c r="D1172" s="191" t="s">
        <v>408</v>
      </c>
      <c r="E1172" s="191">
        <v>41095</v>
      </c>
      <c r="F1172" s="192" t="s">
        <v>365</v>
      </c>
      <c r="G1172" s="490" t="s">
        <v>1031</v>
      </c>
      <c r="H1172" s="193" t="s">
        <v>958</v>
      </c>
      <c r="I1172" s="252"/>
      <c r="J1172" s="252"/>
      <c r="K1172" s="38">
        <v>4400000</v>
      </c>
      <c r="L1172" s="194" t="s">
        <v>48</v>
      </c>
      <c r="M1172" s="194" t="s">
        <v>284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198"/>
      <c r="AB1172" s="198"/>
      <c r="AC1172" s="198"/>
      <c r="AD1172" s="198"/>
    </row>
    <row r="1173" spans="1:30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ref="B1173:B1236" si="74">IF(C1173&lt;&gt;"",MONTH(C1173),"")</f>
        <v>7</v>
      </c>
      <c r="C1173" s="191">
        <f t="shared" si="73"/>
        <v>41095</v>
      </c>
      <c r="D1173" s="191" t="s">
        <v>1588</v>
      </c>
      <c r="E1173" s="191">
        <v>41095</v>
      </c>
      <c r="F1173" s="189" t="s">
        <v>1145</v>
      </c>
      <c r="G1173" s="490" t="s">
        <v>1032</v>
      </c>
      <c r="H1173" s="193" t="s">
        <v>910</v>
      </c>
      <c r="I1173" s="252">
        <v>451</v>
      </c>
      <c r="J1173" s="252">
        <v>11020</v>
      </c>
      <c r="K1173" s="38">
        <f>ROUND(I1173*J1173,0)</f>
        <v>4970020</v>
      </c>
      <c r="L1173" s="194" t="s">
        <v>284</v>
      </c>
      <c r="M1173" s="194" t="s">
        <v>185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30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 t="shared" si="73"/>
        <v>41095</v>
      </c>
      <c r="D1174" s="191" t="s">
        <v>1588</v>
      </c>
      <c r="E1174" s="191">
        <v>41095</v>
      </c>
      <c r="F1174" s="192" t="s">
        <v>555</v>
      </c>
      <c r="G1174" s="490" t="s">
        <v>1032</v>
      </c>
      <c r="H1174" s="193" t="s">
        <v>910</v>
      </c>
      <c r="I1174" s="252"/>
      <c r="J1174" s="252"/>
      <c r="K1174" s="38">
        <v>497002</v>
      </c>
      <c r="L1174" s="194" t="s">
        <v>284</v>
      </c>
      <c r="M1174" s="194" t="s">
        <v>495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198"/>
      <c r="AB1174" s="198"/>
      <c r="AC1174" s="198"/>
      <c r="AD1174" s="198"/>
    </row>
    <row r="1175" spans="1:30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 t="shared" si="73"/>
        <v>41095</v>
      </c>
      <c r="D1175" s="191" t="s">
        <v>409</v>
      </c>
      <c r="E1175" s="191">
        <v>41095</v>
      </c>
      <c r="F1175" s="192" t="s">
        <v>365</v>
      </c>
      <c r="G1175" s="490" t="s">
        <v>1032</v>
      </c>
      <c r="H1175" s="193" t="s">
        <v>910</v>
      </c>
      <c r="I1175" s="252"/>
      <c r="J1175" s="252"/>
      <c r="K1175" s="38">
        <v>5467022</v>
      </c>
      <c r="L1175" s="194" t="s">
        <v>48</v>
      </c>
      <c r="M1175" s="194" t="s">
        <v>284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198"/>
      <c r="AB1175" s="198"/>
      <c r="AC1175" s="198"/>
      <c r="AD1175" s="198"/>
    </row>
    <row r="1176" spans="1:30" ht="15.75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f t="shared" si="73"/>
        <v>41095</v>
      </c>
      <c r="D1176" s="191" t="s">
        <v>1589</v>
      </c>
      <c r="E1176" s="191">
        <v>41095</v>
      </c>
      <c r="F1176" s="192" t="s">
        <v>1033</v>
      </c>
      <c r="G1176" s="490" t="s">
        <v>1034</v>
      </c>
      <c r="H1176" s="193" t="s">
        <v>948</v>
      </c>
      <c r="I1176" s="252">
        <v>622</v>
      </c>
      <c r="J1176" s="252">
        <v>6990</v>
      </c>
      <c r="K1176" s="38">
        <f>ROUND(I1176*J1176,0)</f>
        <v>4347780</v>
      </c>
      <c r="L1176" s="194" t="s">
        <v>284</v>
      </c>
      <c r="M1176" s="194" t="s">
        <v>185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211"/>
      <c r="AB1176" s="211"/>
      <c r="AC1176" s="211"/>
      <c r="AD1176" s="211"/>
    </row>
    <row r="1177" spans="1:30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f t="shared" si="73"/>
        <v>41095</v>
      </c>
      <c r="D1177" s="191" t="s">
        <v>1589</v>
      </c>
      <c r="E1177" s="191">
        <v>41095</v>
      </c>
      <c r="F1177" s="192" t="s">
        <v>1169</v>
      </c>
      <c r="G1177" s="490" t="s">
        <v>1034</v>
      </c>
      <c r="H1177" s="193" t="s">
        <v>948</v>
      </c>
      <c r="I1177" s="252">
        <v>295</v>
      </c>
      <c r="J1177" s="252">
        <v>8050</v>
      </c>
      <c r="K1177" s="38">
        <f>ROUND(I1177*J1177,0)</f>
        <v>2374750</v>
      </c>
      <c r="L1177" s="194" t="s">
        <v>284</v>
      </c>
      <c r="M1177" s="194" t="s">
        <v>185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30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 t="shared" si="73"/>
        <v>41095</v>
      </c>
      <c r="D1178" s="191" t="s">
        <v>1589</v>
      </c>
      <c r="E1178" s="191">
        <v>41095</v>
      </c>
      <c r="F1178" s="192" t="s">
        <v>1168</v>
      </c>
      <c r="G1178" s="490" t="s">
        <v>1034</v>
      </c>
      <c r="H1178" s="193" t="s">
        <v>948</v>
      </c>
      <c r="I1178" s="252">
        <v>70</v>
      </c>
      <c r="J1178" s="252">
        <v>9512</v>
      </c>
      <c r="K1178" s="38">
        <f>ROUND(I1178*J1178,0)</f>
        <v>665840</v>
      </c>
      <c r="L1178" s="194" t="s">
        <v>284</v>
      </c>
      <c r="M1178" s="194" t="s">
        <v>185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30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f t="shared" si="73"/>
        <v>41095</v>
      </c>
      <c r="D1179" s="191" t="s">
        <v>1589</v>
      </c>
      <c r="E1179" s="191">
        <v>41095</v>
      </c>
      <c r="F1179" s="192" t="s">
        <v>555</v>
      </c>
      <c r="G1179" s="490" t="s">
        <v>1034</v>
      </c>
      <c r="H1179" s="193" t="s">
        <v>948</v>
      </c>
      <c r="I1179" s="252"/>
      <c r="J1179" s="252"/>
      <c r="K1179" s="38">
        <v>738837</v>
      </c>
      <c r="L1179" s="194" t="s">
        <v>284</v>
      </c>
      <c r="M1179" s="194" t="s">
        <v>495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198"/>
      <c r="AC1179" s="198"/>
      <c r="AD1179" s="198"/>
    </row>
    <row r="1180" spans="1:30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f t="shared" si="73"/>
        <v>41095</v>
      </c>
      <c r="D1180" s="191" t="s">
        <v>440</v>
      </c>
      <c r="E1180" s="191">
        <v>41095</v>
      </c>
      <c r="F1180" s="192" t="s">
        <v>365</v>
      </c>
      <c r="G1180" s="490" t="s">
        <v>1034</v>
      </c>
      <c r="H1180" s="193" t="s">
        <v>948</v>
      </c>
      <c r="I1180" s="252"/>
      <c r="J1180" s="252"/>
      <c r="K1180" s="38">
        <v>8127207</v>
      </c>
      <c r="L1180" s="194" t="s">
        <v>48</v>
      </c>
      <c r="M1180" s="194" t="s">
        <v>284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198"/>
      <c r="AC1180" s="198"/>
      <c r="AD1180" s="198"/>
    </row>
    <row r="1181" spans="1:30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f t="shared" si="73"/>
        <v>41096</v>
      </c>
      <c r="D1181" s="191" t="s">
        <v>1590</v>
      </c>
      <c r="E1181" s="191">
        <v>41096</v>
      </c>
      <c r="F1181" s="192" t="s">
        <v>1167</v>
      </c>
      <c r="G1181" s="490" t="s">
        <v>1035</v>
      </c>
      <c r="H1181" s="7" t="s">
        <v>632</v>
      </c>
      <c r="I1181" s="252">
        <v>1210</v>
      </c>
      <c r="J1181" s="252">
        <v>6160</v>
      </c>
      <c r="K1181" s="38">
        <f>ROUND(I1181*J1181,0)</f>
        <v>7453600</v>
      </c>
      <c r="L1181" s="194" t="s">
        <v>284</v>
      </c>
      <c r="M1181" s="194" t="s">
        <v>185</v>
      </c>
      <c r="N1181" s="52" t="str">
        <f>IF(AND('331-CT'!$E$7=TH!H1181,OR(L1181="331",M1181="331")),"331",IF(AND(OR(L1181="131",M1181="131"),H1181='131-CT'!$E$7),"131",""))</f>
        <v>131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30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f t="shared" si="73"/>
        <v>41096</v>
      </c>
      <c r="D1182" s="191" t="s">
        <v>1590</v>
      </c>
      <c r="E1182" s="191">
        <v>41096</v>
      </c>
      <c r="F1182" s="192" t="s">
        <v>1131</v>
      </c>
      <c r="G1182" s="490" t="s">
        <v>1035</v>
      </c>
      <c r="H1182" s="7" t="s">
        <v>632</v>
      </c>
      <c r="I1182" s="252">
        <v>310</v>
      </c>
      <c r="J1182" s="252">
        <v>13320</v>
      </c>
      <c r="K1182" s="38">
        <f>ROUND(I1182*J1182,0)</f>
        <v>4129200</v>
      </c>
      <c r="L1182" s="194" t="s">
        <v>284</v>
      </c>
      <c r="M1182" s="194" t="s">
        <v>185</v>
      </c>
      <c r="N1182" s="52" t="str">
        <f>IF(AND('331-CT'!$E$7=TH!H1182,OR(L1182="331",M1182="331")),"331",IF(AND(OR(L1182="131",M1182="131"),H1182='131-CT'!$E$7),"131",""))</f>
        <v>131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30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f t="shared" si="73"/>
        <v>41096</v>
      </c>
      <c r="D1183" s="191" t="s">
        <v>1590</v>
      </c>
      <c r="E1183" s="191">
        <v>41096</v>
      </c>
      <c r="F1183" s="192" t="s">
        <v>1166</v>
      </c>
      <c r="G1183" s="490" t="s">
        <v>1035</v>
      </c>
      <c r="H1183" s="7" t="s">
        <v>632</v>
      </c>
      <c r="I1183" s="252">
        <v>324</v>
      </c>
      <c r="J1183" s="252">
        <v>5060</v>
      </c>
      <c r="K1183" s="38">
        <f>ROUND(I1183*J1183,0)</f>
        <v>1639440</v>
      </c>
      <c r="L1183" s="194" t="s">
        <v>284</v>
      </c>
      <c r="M1183" s="194" t="s">
        <v>185</v>
      </c>
      <c r="N1183" s="52" t="str">
        <f>IF(AND('331-CT'!$E$7=TH!H1183,OR(L1183="331",M1183="331")),"331",IF(AND(OR(L1183="131",M1183="131"),H1183='131-CT'!$E$7),"131",""))</f>
        <v>131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30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f t="shared" si="73"/>
        <v>41096</v>
      </c>
      <c r="D1184" s="191" t="s">
        <v>1590</v>
      </c>
      <c r="E1184" s="191">
        <v>41096</v>
      </c>
      <c r="F1184" s="192" t="s">
        <v>555</v>
      </c>
      <c r="G1184" s="490" t="s">
        <v>1035</v>
      </c>
      <c r="H1184" s="7" t="s">
        <v>632</v>
      </c>
      <c r="I1184" s="252"/>
      <c r="J1184" s="252"/>
      <c r="K1184" s="38">
        <v>1322224</v>
      </c>
      <c r="L1184" s="194" t="s">
        <v>284</v>
      </c>
      <c r="M1184" s="194" t="s">
        <v>495</v>
      </c>
      <c r="N1184" s="52" t="str">
        <f>IF(AND('331-CT'!$E$7=TH!H1184,OR(L1184="331",M1184="331")),"331",IF(AND(OR(L1184="131",M1184="131"),H1184='131-CT'!$E$7),"131",""))</f>
        <v>131</v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198"/>
      <c r="AB1184" s="198"/>
      <c r="AC1184" s="198"/>
      <c r="AD1184" s="198"/>
    </row>
    <row r="1185" spans="1:30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f t="shared" si="73"/>
        <v>41096</v>
      </c>
      <c r="D1185" s="191" t="s">
        <v>1591</v>
      </c>
      <c r="E1185" s="191">
        <v>41096</v>
      </c>
      <c r="F1185" s="192" t="s">
        <v>1165</v>
      </c>
      <c r="G1185" s="490" t="s">
        <v>1036</v>
      </c>
      <c r="H1185" s="193" t="s">
        <v>822</v>
      </c>
      <c r="I1185" s="252">
        <v>1107</v>
      </c>
      <c r="J1185" s="252">
        <v>6032</v>
      </c>
      <c r="K1185" s="38">
        <f>ROUND(I1185*J1185,0)</f>
        <v>6677424</v>
      </c>
      <c r="L1185" s="194" t="s">
        <v>284</v>
      </c>
      <c r="M1185" s="194" t="s">
        <v>185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f t="shared" si="73"/>
        <v>41096</v>
      </c>
      <c r="D1186" s="191" t="s">
        <v>1591</v>
      </c>
      <c r="E1186" s="191">
        <v>41096</v>
      </c>
      <c r="F1186" s="192" t="s">
        <v>555</v>
      </c>
      <c r="G1186" s="490" t="s">
        <v>1036</v>
      </c>
      <c r="H1186" s="193" t="s">
        <v>822</v>
      </c>
      <c r="I1186" s="252"/>
      <c r="J1186" s="252"/>
      <c r="K1186" s="38">
        <v>667742</v>
      </c>
      <c r="L1186" s="194" t="s">
        <v>284</v>
      </c>
      <c r="M1186" s="194" t="s">
        <v>495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41099</v>
      </c>
      <c r="D1187" s="191" t="s">
        <v>363</v>
      </c>
      <c r="E1187" s="191">
        <v>41099</v>
      </c>
      <c r="F1187" s="192" t="s">
        <v>365</v>
      </c>
      <c r="G1187" s="490" t="s">
        <v>361</v>
      </c>
      <c r="H1187" s="7" t="s">
        <v>496</v>
      </c>
      <c r="I1187" s="252"/>
      <c r="J1187" s="252"/>
      <c r="K1187" s="38">
        <v>100000000</v>
      </c>
      <c r="L1187" s="194" t="s">
        <v>24</v>
      </c>
      <c r="M1187" s="194" t="s">
        <v>284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>x</v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/>
      <c r="AB1187" s="198"/>
      <c r="AC1187" s="198"/>
      <c r="AD1187" s="198"/>
    </row>
    <row r="1188" spans="1:30" s="211" customFormat="1" ht="15.75" customHeight="1">
      <c r="A1188" s="204" t="str">
        <f>IF(B1188&lt;&gt;"",IF(AND(B1188&gt;=_TM1,B1188&lt;=_TM2,OR(TH!L1188="1111",TH!M1188="1111")),TH!D1188,""),"")</f>
        <v/>
      </c>
      <c r="B1188" s="885">
        <f t="shared" si="74"/>
        <v>7</v>
      </c>
      <c r="C1188" s="886">
        <v>41099</v>
      </c>
      <c r="D1188" s="886" t="s">
        <v>458</v>
      </c>
      <c r="E1188" s="886">
        <v>41099</v>
      </c>
      <c r="F1188" s="887" t="s">
        <v>403</v>
      </c>
      <c r="G1188" s="888" t="s">
        <v>808</v>
      </c>
      <c r="H1188" s="889" t="s">
        <v>405</v>
      </c>
      <c r="I1188" s="890">
        <v>100</v>
      </c>
      <c r="J1188" s="890">
        <v>25000</v>
      </c>
      <c r="K1188" s="891">
        <v>2500000</v>
      </c>
      <c r="L1188" s="892" t="s">
        <v>171</v>
      </c>
      <c r="M1188" s="893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>x</v>
      </c>
      <c r="Z1188" s="52" t="str">
        <f>IF(AND(B1188&lt;=NKC!$N$8,B1188&gt;=NKC!$M$8),"x","")</f>
        <v/>
      </c>
      <c r="AA1188" s="894"/>
      <c r="AB1188" s="894"/>
      <c r="AC1188" s="894"/>
      <c r="AD1188" s="894"/>
    </row>
    <row r="1189" spans="1:30" s="211" customFormat="1" ht="15.75" customHeight="1">
      <c r="A1189" s="204" t="str">
        <f>IF(B1189&lt;&gt;"",IF(AND(B1189&gt;=_TM1,B1189&lt;=_TM2,OR(TH!L1189="1111",TH!M1189="1111")),TH!D1189,""),"")</f>
        <v/>
      </c>
      <c r="B1189" s="885">
        <f t="shared" si="74"/>
        <v>7</v>
      </c>
      <c r="C1189" s="886">
        <v>41099</v>
      </c>
      <c r="D1189" s="886" t="s">
        <v>458</v>
      </c>
      <c r="E1189" s="886">
        <v>41099</v>
      </c>
      <c r="F1189" s="887" t="s">
        <v>404</v>
      </c>
      <c r="G1189" s="888" t="s">
        <v>808</v>
      </c>
      <c r="H1189" s="889" t="s">
        <v>405</v>
      </c>
      <c r="I1189" s="890"/>
      <c r="J1189" s="890"/>
      <c r="K1189" s="891">
        <v>250000</v>
      </c>
      <c r="L1189" s="892" t="s">
        <v>9</v>
      </c>
      <c r="M1189" s="893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94">
        <v>7</v>
      </c>
      <c r="AB1189" s="894"/>
      <c r="AC1189" s="894"/>
      <c r="AD1189" s="894"/>
    </row>
    <row r="1190" spans="1:30" s="211" customFormat="1" ht="15.75" customHeight="1">
      <c r="A1190" s="204" t="str">
        <f>IF(B1190&lt;&gt;"",IF(AND(B1190&gt;=_TM1,B1190&lt;=_TM2,OR(TH!L1190="1111",TH!M1190="1111")),TH!D1190,""),"")</f>
        <v/>
      </c>
      <c r="B1190" s="885">
        <f t="shared" si="74"/>
        <v>7</v>
      </c>
      <c r="C1190" s="886">
        <v>41099</v>
      </c>
      <c r="D1190" s="886" t="s">
        <v>415</v>
      </c>
      <c r="E1190" s="886">
        <v>41099</v>
      </c>
      <c r="F1190" s="887" t="s">
        <v>400</v>
      </c>
      <c r="G1190" s="887" t="s">
        <v>808</v>
      </c>
      <c r="H1190" s="895" t="s">
        <v>405</v>
      </c>
      <c r="I1190" s="890"/>
      <c r="J1190" s="890"/>
      <c r="K1190" s="891">
        <v>2750000</v>
      </c>
      <c r="L1190" s="616" t="s">
        <v>8</v>
      </c>
      <c r="M1190" s="616" t="s">
        <v>48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94"/>
      <c r="AB1190" s="894"/>
      <c r="AC1190" s="894"/>
      <c r="AD1190" s="894"/>
    </row>
    <row r="1191" spans="1:30" s="211" customForma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41099</v>
      </c>
      <c r="D1191" s="191" t="s">
        <v>416</v>
      </c>
      <c r="E1191" s="191">
        <v>41099</v>
      </c>
      <c r="F1191" s="192" t="s">
        <v>809</v>
      </c>
      <c r="G1191" s="192" t="s">
        <v>810</v>
      </c>
      <c r="H1191" s="193" t="s">
        <v>401</v>
      </c>
      <c r="I1191" s="252"/>
      <c r="J1191" s="252"/>
      <c r="K1191" s="38">
        <v>2560000</v>
      </c>
      <c r="L1191" s="194" t="s">
        <v>175</v>
      </c>
      <c r="M1191" s="194" t="s">
        <v>48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198"/>
      <c r="AB1191" s="198"/>
      <c r="AC1191" s="198"/>
      <c r="AD1191" s="198"/>
    </row>
    <row r="1192" spans="1:30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v>41099</v>
      </c>
      <c r="D1192" s="191" t="s">
        <v>416</v>
      </c>
      <c r="E1192" s="191">
        <v>41099</v>
      </c>
      <c r="F1192" s="192" t="s">
        <v>372</v>
      </c>
      <c r="G1192" s="192" t="s">
        <v>810</v>
      </c>
      <c r="H1192" s="193" t="s">
        <v>401</v>
      </c>
      <c r="I1192" s="252"/>
      <c r="J1192" s="252"/>
      <c r="K1192" s="38">
        <v>256000</v>
      </c>
      <c r="L1192" s="194" t="s">
        <v>9</v>
      </c>
      <c r="M1192" s="194" t="s">
        <v>48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198">
        <v>7</v>
      </c>
      <c r="AB1192" s="198"/>
      <c r="AC1192" s="198"/>
      <c r="AD1192" s="198"/>
    </row>
    <row r="1193" spans="1:30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v>41099</v>
      </c>
      <c r="D1193" s="191" t="s">
        <v>464</v>
      </c>
      <c r="E1193" s="191">
        <v>41099</v>
      </c>
      <c r="F1193" s="192" t="s">
        <v>1309</v>
      </c>
      <c r="G1193" s="192" t="s">
        <v>811</v>
      </c>
      <c r="H1193" s="7" t="s">
        <v>436</v>
      </c>
      <c r="I1193" s="252">
        <v>1000</v>
      </c>
      <c r="J1193" s="252">
        <v>22301</v>
      </c>
      <c r="K1193" s="38">
        <v>22301000</v>
      </c>
      <c r="L1193" s="194" t="s">
        <v>169</v>
      </c>
      <c r="M1193" s="616" t="s">
        <v>8</v>
      </c>
      <c r="N1193" s="52" t="str">
        <f>IF(AND('331-CT'!$E$7=TH!H1193,OR(L1193="331",M1193="331")),"331",IF(AND(OR(L1193="131",M1193="131"),H1193='131-CT'!$E$7),"131",""))</f>
        <v>331</v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606"/>
      <c r="AC1193" s="198"/>
      <c r="AD1193" s="198"/>
    </row>
    <row r="1194" spans="1:30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v>41099</v>
      </c>
      <c r="D1194" s="191" t="s">
        <v>464</v>
      </c>
      <c r="E1194" s="191">
        <v>41099</v>
      </c>
      <c r="F1194" s="192" t="s">
        <v>1341</v>
      </c>
      <c r="G1194" s="192" t="s">
        <v>811</v>
      </c>
      <c r="H1194" s="7" t="s">
        <v>436</v>
      </c>
      <c r="I1194" s="252">
        <v>270</v>
      </c>
      <c r="J1194" s="252">
        <v>13971</v>
      </c>
      <c r="K1194" s="38">
        <v>3772170</v>
      </c>
      <c r="L1194" s="194" t="s">
        <v>169</v>
      </c>
      <c r="M1194" s="616" t="s">
        <v>8</v>
      </c>
      <c r="N1194" s="52" t="str">
        <f>IF(AND('331-CT'!$E$7=TH!H1194,OR(L1194="331",M1194="331")),"331",IF(AND(OR(L1194="131",M1194="131"),H1194='131-CT'!$E$7),"131",""))</f>
        <v>331</v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606"/>
      <c r="AC1194" s="198"/>
      <c r="AD1194" s="198"/>
    </row>
    <row r="1195" spans="1:30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v>41099</v>
      </c>
      <c r="D1195" s="191" t="s">
        <v>464</v>
      </c>
      <c r="E1195" s="191">
        <v>41099</v>
      </c>
      <c r="F1195" s="192" t="s">
        <v>1342</v>
      </c>
      <c r="G1195" s="192" t="s">
        <v>811</v>
      </c>
      <c r="H1195" s="7" t="s">
        <v>436</v>
      </c>
      <c r="I1195" s="252">
        <v>100</v>
      </c>
      <c r="J1195" s="252">
        <v>8989</v>
      </c>
      <c r="K1195" s="38">
        <v>898900</v>
      </c>
      <c r="L1195" s="194" t="s">
        <v>169</v>
      </c>
      <c r="M1195" s="616" t="s">
        <v>8</v>
      </c>
      <c r="N1195" s="52" t="str">
        <f>IF(AND('331-CT'!$E$7=TH!H1195,OR(L1195="331",M1195="331")),"331",IF(AND(OR(L1195="131",M1195="131"),H1195='131-CT'!$E$7),"131",""))</f>
        <v>331</v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198"/>
      <c r="AB1195" s="606"/>
      <c r="AC1195" s="198"/>
      <c r="AD1195" s="198"/>
    </row>
    <row r="1196" spans="1:30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v>41099</v>
      </c>
      <c r="D1196" s="191" t="s">
        <v>464</v>
      </c>
      <c r="E1196" s="191">
        <v>41099</v>
      </c>
      <c r="F1196" s="192" t="s">
        <v>566</v>
      </c>
      <c r="G1196" s="192" t="s">
        <v>811</v>
      </c>
      <c r="H1196" s="7" t="s">
        <v>436</v>
      </c>
      <c r="I1196" s="252"/>
      <c r="J1196" s="252"/>
      <c r="K1196" s="38">
        <v>2697207</v>
      </c>
      <c r="L1196" s="194" t="s">
        <v>9</v>
      </c>
      <c r="M1196" s="616" t="s">
        <v>8</v>
      </c>
      <c r="N1196" s="52" t="str">
        <f>IF(AND('331-CT'!$E$7=TH!H1196,OR(L1196="331",M1196="331")),"331",IF(AND(OR(L1196="131",M1196="131"),H1196='131-CT'!$E$7),"131",""))</f>
        <v>331</v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198">
        <v>7</v>
      </c>
      <c r="AB1196" s="198"/>
      <c r="AC1196" s="198"/>
      <c r="AD1196" s="198"/>
    </row>
    <row r="1197" spans="1:30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v>41100</v>
      </c>
      <c r="D1197" s="191" t="s">
        <v>363</v>
      </c>
      <c r="E1197" s="191">
        <v>41100</v>
      </c>
      <c r="F1197" s="192" t="s">
        <v>365</v>
      </c>
      <c r="G1197" s="192" t="s">
        <v>361</v>
      </c>
      <c r="H1197" s="193" t="s">
        <v>812</v>
      </c>
      <c r="I1197" s="252"/>
      <c r="J1197" s="252"/>
      <c r="K1197" s="38">
        <v>36590400</v>
      </c>
      <c r="L1197" s="194" t="s">
        <v>24</v>
      </c>
      <c r="M1197" s="194" t="s">
        <v>284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>x</v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v>41100</v>
      </c>
      <c r="D1198" s="191" t="s">
        <v>364</v>
      </c>
      <c r="E1198" s="191">
        <v>41100</v>
      </c>
      <c r="F1198" s="192" t="s">
        <v>400</v>
      </c>
      <c r="G1198" s="192" t="s">
        <v>361</v>
      </c>
      <c r="H1198" s="193" t="s">
        <v>744</v>
      </c>
      <c r="I1198" s="252"/>
      <c r="J1198" s="252"/>
      <c r="K1198" s="38">
        <v>17000000</v>
      </c>
      <c r="L1198" s="616" t="s">
        <v>8</v>
      </c>
      <c r="M1198" s="194" t="s">
        <v>24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>x</v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198"/>
      <c r="AB1198" s="198"/>
      <c r="AC1198" s="198"/>
      <c r="AD1198" s="198"/>
    </row>
    <row r="1199" spans="1:30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v>41100</v>
      </c>
      <c r="D1199" s="191" t="s">
        <v>364</v>
      </c>
      <c r="E1199" s="191">
        <v>41100</v>
      </c>
      <c r="F1199" s="192" t="s">
        <v>400</v>
      </c>
      <c r="G1199" s="192" t="s">
        <v>361</v>
      </c>
      <c r="H1199" s="7" t="s">
        <v>436</v>
      </c>
      <c r="I1199" s="252"/>
      <c r="J1199" s="252"/>
      <c r="K1199" s="38">
        <v>7000000</v>
      </c>
      <c r="L1199" s="616" t="s">
        <v>8</v>
      </c>
      <c r="M1199" s="194" t="s">
        <v>24</v>
      </c>
      <c r="N1199" s="52" t="str">
        <f>IF(AND('331-CT'!$E$7=TH!H1199,OR(L1199="331",M1199="331")),"331",IF(AND(OR(L1199="131",M1199="131"),H1199='131-CT'!$E$7),"131",""))</f>
        <v>331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>x</v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198"/>
      <c r="AB1199" s="198"/>
      <c r="AC1199" s="198"/>
      <c r="AD1199" s="198"/>
    </row>
    <row r="1200" spans="1:30" ht="15.75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v>41100</v>
      </c>
      <c r="D1200" s="191" t="s">
        <v>364</v>
      </c>
      <c r="E1200" s="191">
        <v>41100</v>
      </c>
      <c r="F1200" s="192" t="s">
        <v>400</v>
      </c>
      <c r="G1200" s="192" t="s">
        <v>361</v>
      </c>
      <c r="H1200" s="7" t="s">
        <v>436</v>
      </c>
      <c r="I1200" s="252"/>
      <c r="J1200" s="252"/>
      <c r="K1200" s="38">
        <v>85000000</v>
      </c>
      <c r="L1200" s="616" t="s">
        <v>8</v>
      </c>
      <c r="M1200" s="194" t="s">
        <v>24</v>
      </c>
      <c r="N1200" s="52" t="str">
        <f>IF(AND('331-CT'!$E$7=TH!H1200,OR(L1200="331",M1200="331")),"331",IF(AND(OR(L1200="131",M1200="131"),H1200='131-CT'!$E$7),"131",""))</f>
        <v>331</v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>x</v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30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v>41100</v>
      </c>
      <c r="D1201" s="191" t="s">
        <v>364</v>
      </c>
      <c r="E1201" s="191">
        <v>41100</v>
      </c>
      <c r="F1201" s="192" t="s">
        <v>366</v>
      </c>
      <c r="G1201" s="192" t="s">
        <v>361</v>
      </c>
      <c r="H1201" s="193"/>
      <c r="I1201" s="252"/>
      <c r="J1201" s="252"/>
      <c r="K1201" s="38">
        <v>42500</v>
      </c>
      <c r="L1201" s="194" t="s">
        <v>84</v>
      </c>
      <c r="M1201" s="194" t="s">
        <v>24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>x</v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198"/>
      <c r="AB1201" s="198"/>
      <c r="AC1201" s="198"/>
      <c r="AD1201" s="198"/>
    </row>
    <row r="1202" spans="1:30" ht="15.75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v>41100</v>
      </c>
      <c r="D1202" s="191" t="s">
        <v>364</v>
      </c>
      <c r="E1202" s="191">
        <v>41100</v>
      </c>
      <c r="F1202" s="192" t="s">
        <v>366</v>
      </c>
      <c r="G1202" s="192" t="s">
        <v>361</v>
      </c>
      <c r="H1202" s="210"/>
      <c r="I1202" s="252"/>
      <c r="J1202" s="252"/>
      <c r="K1202" s="38">
        <v>10000</v>
      </c>
      <c r="L1202" s="194" t="s">
        <v>84</v>
      </c>
      <c r="M1202" s="194" t="s">
        <v>24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>x</v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v>41100</v>
      </c>
      <c r="D1203" s="191" t="s">
        <v>364</v>
      </c>
      <c r="E1203" s="191">
        <v>41100</v>
      </c>
      <c r="F1203" s="192" t="s">
        <v>366</v>
      </c>
      <c r="G1203" s="192" t="s">
        <v>361</v>
      </c>
      <c r="H1203" s="210"/>
      <c r="I1203" s="252"/>
      <c r="J1203" s="252"/>
      <c r="K1203" s="38">
        <v>10000</v>
      </c>
      <c r="L1203" s="194" t="s">
        <v>84</v>
      </c>
      <c r="M1203" s="194" t="s">
        <v>24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>x</v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198"/>
      <c r="AB1203" s="198"/>
      <c r="AC1203" s="198"/>
      <c r="AD1203" s="198"/>
    </row>
    <row r="1204" spans="1:30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>E1204</f>
        <v>41101</v>
      </c>
      <c r="D1204" s="184" t="s">
        <v>417</v>
      </c>
      <c r="E1204" s="191">
        <v>41101</v>
      </c>
      <c r="F1204" s="189" t="s">
        <v>589</v>
      </c>
      <c r="G1204" s="488" t="s">
        <v>1474</v>
      </c>
      <c r="H1204" s="7" t="s">
        <v>591</v>
      </c>
      <c r="I1204" s="252"/>
      <c r="J1204" s="255"/>
      <c r="K1204" s="615">
        <v>462580</v>
      </c>
      <c r="L1204" s="194" t="s">
        <v>84</v>
      </c>
      <c r="M1204" s="616" t="s">
        <v>48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30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>E1205</f>
        <v>41101</v>
      </c>
      <c r="D1205" s="184" t="s">
        <v>417</v>
      </c>
      <c r="E1205" s="191">
        <v>41101</v>
      </c>
      <c r="F1205" s="189" t="s">
        <v>592</v>
      </c>
      <c r="G1205" s="488" t="s">
        <v>1474</v>
      </c>
      <c r="H1205" s="7" t="s">
        <v>591</v>
      </c>
      <c r="I1205" s="255"/>
      <c r="J1205" s="255"/>
      <c r="K1205" s="38">
        <v>46258</v>
      </c>
      <c r="L1205" s="194" t="s">
        <v>9</v>
      </c>
      <c r="M1205" s="616" t="s">
        <v>48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211">
        <v>7</v>
      </c>
      <c r="AC1205" s="606"/>
      <c r="AD1205" s="606"/>
    </row>
    <row r="1206" spans="1:30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74"/>
        <v>7</v>
      </c>
      <c r="C1206" s="191">
        <v>41101</v>
      </c>
      <c r="D1206" s="191" t="s">
        <v>465</v>
      </c>
      <c r="E1206" s="191">
        <v>41101</v>
      </c>
      <c r="F1206" s="192" t="s">
        <v>1343</v>
      </c>
      <c r="G1206" s="192" t="s">
        <v>813</v>
      </c>
      <c r="H1206" s="7" t="s">
        <v>436</v>
      </c>
      <c r="I1206" s="252">
        <v>1500</v>
      </c>
      <c r="J1206" s="252">
        <v>15665</v>
      </c>
      <c r="K1206" s="38">
        <v>23497500</v>
      </c>
      <c r="L1206" s="194" t="s">
        <v>169</v>
      </c>
      <c r="M1206" s="616" t="s">
        <v>8</v>
      </c>
      <c r="N1206" s="52" t="str">
        <f>IF(AND('331-CT'!$E$7=TH!H1206,OR(L1206="331",M1206="331")),"331",IF(AND(OR(L1206="131",M1206="131"),H1206='131-CT'!$E$7),"131",""))</f>
        <v>331</v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606"/>
      <c r="AC1206" s="198"/>
      <c r="AD1206" s="198"/>
    </row>
    <row r="1207" spans="1:30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74"/>
        <v>7</v>
      </c>
      <c r="C1207" s="191">
        <v>41101</v>
      </c>
      <c r="D1207" s="191" t="s">
        <v>465</v>
      </c>
      <c r="E1207" s="191">
        <v>41101</v>
      </c>
      <c r="F1207" s="192" t="s">
        <v>566</v>
      </c>
      <c r="G1207" s="192" t="s">
        <v>813</v>
      </c>
      <c r="H1207" s="7" t="s">
        <v>436</v>
      </c>
      <c r="I1207" s="252"/>
      <c r="J1207" s="252"/>
      <c r="K1207" s="38">
        <v>2349750</v>
      </c>
      <c r="L1207" s="194" t="s">
        <v>9</v>
      </c>
      <c r="M1207" s="616" t="s">
        <v>8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198">
        <v>7</v>
      </c>
      <c r="AB1207" s="198"/>
      <c r="AC1207" s="198"/>
      <c r="AD1207" s="198"/>
    </row>
    <row r="1208" spans="1:30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74"/>
        <v>7</v>
      </c>
      <c r="C1208" s="191">
        <f>E1208</f>
        <v>41102</v>
      </c>
      <c r="D1208" s="184" t="s">
        <v>418</v>
      </c>
      <c r="E1208" s="191">
        <v>41102</v>
      </c>
      <c r="F1208" s="192" t="s">
        <v>400</v>
      </c>
      <c r="G1208" s="490" t="s">
        <v>783</v>
      </c>
      <c r="H1208" s="7" t="s">
        <v>436</v>
      </c>
      <c r="I1208" s="252"/>
      <c r="J1208" s="252"/>
      <c r="K1208" s="38">
        <v>11582889</v>
      </c>
      <c r="L1208" s="616" t="s">
        <v>8</v>
      </c>
      <c r="M1208" s="616" t="s">
        <v>48</v>
      </c>
      <c r="N1208" s="52" t="str">
        <f>IF(AND('331-CT'!$E$7=TH!H1208,OR(L1208="331",M1208="331")),"331",IF(AND(OR(L1208="131",M1208="131"),H1208='131-CT'!$E$7),"131",""))</f>
        <v>331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74"/>
        <v>7</v>
      </c>
      <c r="C1209" s="191">
        <v>41103</v>
      </c>
      <c r="D1209" s="191" t="s">
        <v>466</v>
      </c>
      <c r="E1209" s="191">
        <v>41103</v>
      </c>
      <c r="F1209" s="192" t="s">
        <v>1440</v>
      </c>
      <c r="G1209" s="192" t="s">
        <v>814</v>
      </c>
      <c r="H1209" s="7" t="s">
        <v>436</v>
      </c>
      <c r="I1209" s="252">
        <v>100</v>
      </c>
      <c r="J1209" s="252">
        <v>13789</v>
      </c>
      <c r="K1209" s="38">
        <v>1378900</v>
      </c>
      <c r="L1209" s="194" t="s">
        <v>169</v>
      </c>
      <c r="M1209" s="616" t="s">
        <v>8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198"/>
      <c r="AB1209" s="606"/>
      <c r="AC1209" s="198"/>
      <c r="AD1209" s="198"/>
    </row>
    <row r="1210" spans="1:30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74"/>
        <v>7</v>
      </c>
      <c r="C1210" s="191">
        <v>41103</v>
      </c>
      <c r="D1210" s="191" t="s">
        <v>466</v>
      </c>
      <c r="E1210" s="191">
        <v>41103</v>
      </c>
      <c r="F1210" s="192" t="s">
        <v>1456</v>
      </c>
      <c r="G1210" s="192" t="s">
        <v>814</v>
      </c>
      <c r="H1210" s="7" t="s">
        <v>436</v>
      </c>
      <c r="I1210" s="252">
        <v>100</v>
      </c>
      <c r="J1210" s="252">
        <v>11889</v>
      </c>
      <c r="K1210" s="38">
        <v>1188900</v>
      </c>
      <c r="L1210" s="194" t="s">
        <v>169</v>
      </c>
      <c r="M1210" s="616" t="s">
        <v>8</v>
      </c>
      <c r="N1210" s="52" t="str">
        <f>IF(AND('331-CT'!$E$7=TH!H1210,OR(L1210="331",M1210="331")),"331",IF(AND(OR(L1210="131",M1210="131"),H1210='131-CT'!$E$7),"131",""))</f>
        <v>331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198"/>
      <c r="AB1210" s="606"/>
      <c r="AC1210" s="198"/>
      <c r="AD1210" s="198"/>
    </row>
    <row r="1211" spans="1:30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74"/>
        <v>7</v>
      </c>
      <c r="C1211" s="191">
        <v>41103</v>
      </c>
      <c r="D1211" s="191" t="s">
        <v>466</v>
      </c>
      <c r="E1211" s="191">
        <v>41103</v>
      </c>
      <c r="F1211" s="192" t="s">
        <v>1457</v>
      </c>
      <c r="G1211" s="192" t="s">
        <v>814</v>
      </c>
      <c r="H1211" s="7" t="s">
        <v>436</v>
      </c>
      <c r="I1211" s="252">
        <v>340</v>
      </c>
      <c r="J1211" s="252">
        <v>15120</v>
      </c>
      <c r="K1211" s="38">
        <v>5140800</v>
      </c>
      <c r="L1211" s="194" t="s">
        <v>169</v>
      </c>
      <c r="M1211" s="616" t="s">
        <v>8</v>
      </c>
      <c r="N1211" s="52" t="str">
        <f>IF(AND('331-CT'!$E$7=TH!H1211,OR(L1211="331",M1211="331")),"331",IF(AND(OR(L1211="131",M1211="131"),H1211='131-CT'!$E$7),"131",""))</f>
        <v>331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606"/>
      <c r="AC1211" s="198"/>
      <c r="AD1211" s="198"/>
    </row>
    <row r="1212" spans="1:30" ht="15.75" customHeight="1">
      <c r="A1212" s="204" t="str">
        <f>IF(B1212&lt;&gt;"",IF(AND(B1212&gt;=_TM1,B1212&lt;=_TM2,OR(TH!L1212="1111",TH!M1212="1111")),TH!D1212,""),"")</f>
        <v/>
      </c>
      <c r="B1212" s="36">
        <f t="shared" si="74"/>
        <v>7</v>
      </c>
      <c r="C1212" s="191">
        <v>41103</v>
      </c>
      <c r="D1212" s="191" t="s">
        <v>466</v>
      </c>
      <c r="E1212" s="191">
        <v>41103</v>
      </c>
      <c r="F1212" s="192" t="s">
        <v>1458</v>
      </c>
      <c r="G1212" s="192" t="s">
        <v>814</v>
      </c>
      <c r="H1212" s="7" t="s">
        <v>436</v>
      </c>
      <c r="I1212" s="252">
        <v>670</v>
      </c>
      <c r="J1212" s="252">
        <v>7300</v>
      </c>
      <c r="K1212" s="38">
        <v>4891000</v>
      </c>
      <c r="L1212" s="194" t="s">
        <v>169</v>
      </c>
      <c r="M1212" s="616" t="s">
        <v>8</v>
      </c>
      <c r="N1212" s="52" t="str">
        <f>IF(AND('331-CT'!$E$7=TH!H1212,OR(L1212="331",M1212="331")),"331",IF(AND(OR(L1212="131",M1212="131"),H1212='131-CT'!$E$7),"131",""))</f>
        <v>331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B1212" s="606"/>
    </row>
    <row r="1213" spans="1:30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74"/>
        <v>7</v>
      </c>
      <c r="C1213" s="191">
        <v>41103</v>
      </c>
      <c r="D1213" s="191" t="s">
        <v>466</v>
      </c>
      <c r="E1213" s="191">
        <v>41103</v>
      </c>
      <c r="F1213" s="192" t="s">
        <v>566</v>
      </c>
      <c r="G1213" s="192" t="s">
        <v>814</v>
      </c>
      <c r="H1213" s="7" t="s">
        <v>436</v>
      </c>
      <c r="I1213" s="252"/>
      <c r="J1213" s="252"/>
      <c r="K1213" s="38">
        <v>1259960</v>
      </c>
      <c r="L1213" s="194" t="s">
        <v>9</v>
      </c>
      <c r="M1213" s="616" t="s">
        <v>8</v>
      </c>
      <c r="N1213" s="52" t="str">
        <f>IF(AND('331-CT'!$E$7=TH!H1213,OR(L1213="331",M1213="331")),"331",IF(AND(OR(L1213="131",M1213="131"),H1213='131-CT'!$E$7),"131",""))</f>
        <v>331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198">
        <v>7</v>
      </c>
      <c r="AB1213" s="198"/>
      <c r="AC1213" s="198"/>
      <c r="AD1213" s="198"/>
    </row>
    <row r="1214" spans="1:30" ht="15.75" customHeight="1">
      <c r="A1214" s="204" t="str">
        <f>IF(B1214&lt;&gt;"",IF(AND(B1214&gt;=_TM1,B1214&lt;=_TM2,OR(TH!L1214="1111",TH!M1214="1111")),TH!D1214,""),"")</f>
        <v/>
      </c>
      <c r="B1214" s="36">
        <f t="shared" si="74"/>
        <v>7</v>
      </c>
      <c r="C1214" s="191">
        <v>41103</v>
      </c>
      <c r="D1214" s="191" t="s">
        <v>437</v>
      </c>
      <c r="E1214" s="191">
        <v>41103</v>
      </c>
      <c r="F1214" s="192" t="s">
        <v>400</v>
      </c>
      <c r="G1214" s="192" t="s">
        <v>814</v>
      </c>
      <c r="H1214" s="7" t="s">
        <v>436</v>
      </c>
      <c r="I1214" s="252"/>
      <c r="J1214" s="252"/>
      <c r="K1214" s="38">
        <v>13859560</v>
      </c>
      <c r="L1214" s="194" t="s">
        <v>8</v>
      </c>
      <c r="M1214" s="616" t="s">
        <v>48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30" ht="15.75" customHeight="1">
      <c r="A1215" s="204" t="str">
        <f>IF(B1215&lt;&gt;"",IF(AND(B1215&gt;=_TM1,B1215&lt;=_TM2,OR(TH!L1215="1111",TH!M1215="1111")),TH!D1215,""),"")</f>
        <v/>
      </c>
      <c r="B1215" s="36">
        <f t="shared" si="74"/>
        <v>7</v>
      </c>
      <c r="C1215" s="191">
        <v>41104</v>
      </c>
      <c r="D1215" s="191" t="s">
        <v>438</v>
      </c>
      <c r="E1215" s="191">
        <v>41104</v>
      </c>
      <c r="F1215" s="192" t="s">
        <v>396</v>
      </c>
      <c r="G1215" s="192" t="s">
        <v>361</v>
      </c>
      <c r="H1215" s="193" t="s">
        <v>815</v>
      </c>
      <c r="I1215" s="252"/>
      <c r="J1215" s="252"/>
      <c r="K1215" s="38">
        <v>15000000</v>
      </c>
      <c r="L1215" s="194" t="s">
        <v>24</v>
      </c>
      <c r="M1215" s="194" t="s">
        <v>48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>x</v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30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74"/>
        <v>7</v>
      </c>
      <c r="C1216" s="191">
        <v>41104</v>
      </c>
      <c r="D1216" s="191" t="s">
        <v>439</v>
      </c>
      <c r="E1216" s="191">
        <v>41104</v>
      </c>
      <c r="F1216" s="192" t="s">
        <v>816</v>
      </c>
      <c r="G1216" s="192" t="s">
        <v>817</v>
      </c>
      <c r="H1216" s="193" t="s">
        <v>401</v>
      </c>
      <c r="I1216" s="252"/>
      <c r="J1216" s="252"/>
      <c r="K1216" s="38">
        <v>1360000</v>
      </c>
      <c r="L1216" s="194" t="s">
        <v>175</v>
      </c>
      <c r="M1216" s="194" t="s">
        <v>48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/>
      <c r="AB1216" s="198"/>
      <c r="AC1216" s="198"/>
      <c r="AD1216" s="198"/>
    </row>
    <row r="1217" spans="1:30" ht="15.75" customHeight="1">
      <c r="A1217" s="204" t="str">
        <f>IF(B1217&lt;&gt;"",IF(AND(B1217&gt;=_TM1,B1217&lt;=_TM2,OR(TH!L1217="1111",TH!M1217="1111")),TH!D1217,""),"")</f>
        <v/>
      </c>
      <c r="B1217" s="36">
        <f t="shared" si="74"/>
        <v>7</v>
      </c>
      <c r="C1217" s="191">
        <v>41104</v>
      </c>
      <c r="D1217" s="191" t="s">
        <v>439</v>
      </c>
      <c r="E1217" s="191">
        <v>41104</v>
      </c>
      <c r="F1217" s="192" t="s">
        <v>372</v>
      </c>
      <c r="G1217" s="192" t="s">
        <v>817</v>
      </c>
      <c r="H1217" s="210" t="s">
        <v>401</v>
      </c>
      <c r="I1217" s="252"/>
      <c r="J1217" s="252"/>
      <c r="K1217" s="38">
        <v>136000</v>
      </c>
      <c r="L1217" s="194" t="s">
        <v>9</v>
      </c>
      <c r="M1217" s="194" t="s">
        <v>48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>
        <v>7</v>
      </c>
    </row>
    <row r="1218" spans="1:30" ht="15.75" customHeight="1">
      <c r="A1218" s="204" t="str">
        <f>IF(B1218&lt;&gt;"",IF(AND(B1218&gt;=_TM1,B1218&lt;=_TM2,OR(TH!L1218="1111",TH!M1218="1111")),TH!D1218,""),"")</f>
        <v/>
      </c>
      <c r="B1218" s="36">
        <f t="shared" si="74"/>
        <v>7</v>
      </c>
      <c r="C1218" s="191">
        <v>41104</v>
      </c>
      <c r="D1218" s="191" t="s">
        <v>467</v>
      </c>
      <c r="E1218" s="191">
        <v>41104</v>
      </c>
      <c r="F1218" s="192" t="s">
        <v>1459</v>
      </c>
      <c r="G1218" s="192" t="s">
        <v>818</v>
      </c>
      <c r="H1218" s="7" t="s">
        <v>436</v>
      </c>
      <c r="I1218" s="252">
        <v>680</v>
      </c>
      <c r="J1218" s="252">
        <v>7204</v>
      </c>
      <c r="K1218" s="38">
        <v>4898720</v>
      </c>
      <c r="L1218" s="194" t="s">
        <v>169</v>
      </c>
      <c r="M1218" s="616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B1218" s="606"/>
    </row>
    <row r="1219" spans="1:30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74"/>
        <v>7</v>
      </c>
      <c r="C1219" s="191">
        <v>41104</v>
      </c>
      <c r="D1219" s="191" t="s">
        <v>467</v>
      </c>
      <c r="E1219" s="191">
        <v>41104</v>
      </c>
      <c r="F1219" s="192" t="s">
        <v>1344</v>
      </c>
      <c r="G1219" s="192" t="s">
        <v>818</v>
      </c>
      <c r="H1219" s="7" t="s">
        <v>436</v>
      </c>
      <c r="I1219" s="252">
        <v>100</v>
      </c>
      <c r="J1219" s="252">
        <v>24922</v>
      </c>
      <c r="K1219" s="38">
        <v>2492200</v>
      </c>
      <c r="L1219" s="194" t="s">
        <v>169</v>
      </c>
      <c r="M1219" s="616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/>
      <c r="AB1219" s="606"/>
      <c r="AC1219" s="198"/>
      <c r="AD1219" s="198"/>
    </row>
    <row r="1220" spans="1:30" ht="15.75" customHeight="1">
      <c r="A1220" s="204" t="str">
        <f>IF(B1220&lt;&gt;"",IF(AND(B1220&gt;=_TM1,B1220&lt;=_TM2,OR(TH!L1220="1111",TH!M1220="1111")),TH!D1220,""),"")</f>
        <v/>
      </c>
      <c r="B1220" s="36">
        <f t="shared" si="74"/>
        <v>7</v>
      </c>
      <c r="C1220" s="191">
        <v>41104</v>
      </c>
      <c r="D1220" s="191" t="s">
        <v>467</v>
      </c>
      <c r="E1220" s="191">
        <v>41104</v>
      </c>
      <c r="F1220" s="192" t="s">
        <v>566</v>
      </c>
      <c r="G1220" s="490" t="s">
        <v>818</v>
      </c>
      <c r="H1220" s="7" t="s">
        <v>436</v>
      </c>
      <c r="I1220" s="252"/>
      <c r="J1220" s="252"/>
      <c r="K1220" s="38">
        <v>739092</v>
      </c>
      <c r="L1220" s="194" t="s">
        <v>9</v>
      </c>
      <c r="M1220" s="616" t="s">
        <v>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8">
        <v>7</v>
      </c>
    </row>
    <row r="1221" spans="1:30" ht="15.75" customHeight="1">
      <c r="A1221" s="204" t="str">
        <f>IF(B1221&lt;&gt;"",IF(AND(B1221&gt;=_TM1,B1221&lt;=_TM2,OR(TH!L1221="1111",TH!M1221="1111")),TH!D1221,""),"")</f>
        <v/>
      </c>
      <c r="B1221" s="36">
        <f t="shared" si="74"/>
        <v>7</v>
      </c>
      <c r="C1221" s="191">
        <v>41104</v>
      </c>
      <c r="D1221" s="191" t="s">
        <v>441</v>
      </c>
      <c r="E1221" s="191">
        <v>41104</v>
      </c>
      <c r="F1221" s="192" t="s">
        <v>400</v>
      </c>
      <c r="G1221" s="490" t="s">
        <v>818</v>
      </c>
      <c r="H1221" s="7" t="s">
        <v>436</v>
      </c>
      <c r="I1221" s="252"/>
      <c r="J1221" s="252"/>
      <c r="K1221" s="38">
        <v>8130012</v>
      </c>
      <c r="L1221" s="194" t="s">
        <v>8</v>
      </c>
      <c r="M1221" s="616" t="s">
        <v>48</v>
      </c>
      <c r="N1221" s="52" t="str">
        <f>IF(AND('331-CT'!$E$7=TH!H1221,OR(L1221="331",M1221="331")),"331",IF(AND(OR(L1221="131",M1221="131"),H1221='131-CT'!$E$7),"131",""))</f>
        <v>331</v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74"/>
        <v>7</v>
      </c>
      <c r="C1222" s="191">
        <f t="shared" ref="C1222:C1237" si="75">E1222</f>
        <v>41104</v>
      </c>
      <c r="D1222" s="191" t="s">
        <v>1592</v>
      </c>
      <c r="E1222" s="191">
        <v>41104</v>
      </c>
      <c r="F1222" s="192" t="s">
        <v>1164</v>
      </c>
      <c r="G1222" s="490" t="s">
        <v>426</v>
      </c>
      <c r="H1222" s="193" t="s">
        <v>992</v>
      </c>
      <c r="I1222" s="252">
        <v>1012</v>
      </c>
      <c r="J1222" s="252">
        <v>6200</v>
      </c>
      <c r="K1222" s="38">
        <f>ROUND(I1222*J1222,0)</f>
        <v>6274400</v>
      </c>
      <c r="L1222" s="194" t="s">
        <v>284</v>
      </c>
      <c r="M1222" s="194" t="s">
        <v>185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30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74"/>
        <v>7</v>
      </c>
      <c r="C1223" s="191">
        <f t="shared" si="75"/>
        <v>41104</v>
      </c>
      <c r="D1223" s="191" t="s">
        <v>1592</v>
      </c>
      <c r="E1223" s="191">
        <v>41104</v>
      </c>
      <c r="F1223" s="192" t="s">
        <v>555</v>
      </c>
      <c r="G1223" s="490" t="s">
        <v>426</v>
      </c>
      <c r="H1223" s="193" t="s">
        <v>992</v>
      </c>
      <c r="I1223" s="252"/>
      <c r="J1223" s="252"/>
      <c r="K1223" s="38">
        <v>627440</v>
      </c>
      <c r="L1223" s="194" t="s">
        <v>284</v>
      </c>
      <c r="M1223" s="194" t="s">
        <v>495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198"/>
      <c r="AB1223" s="198"/>
      <c r="AC1223" s="198"/>
      <c r="AD1223" s="198"/>
    </row>
    <row r="1224" spans="1:30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74"/>
        <v>7</v>
      </c>
      <c r="C1224" s="191">
        <f t="shared" si="75"/>
        <v>41104</v>
      </c>
      <c r="D1224" s="191" t="s">
        <v>445</v>
      </c>
      <c r="E1224" s="191">
        <v>41104</v>
      </c>
      <c r="F1224" s="192" t="s">
        <v>365</v>
      </c>
      <c r="G1224" s="490" t="s">
        <v>426</v>
      </c>
      <c r="H1224" s="193" t="s">
        <v>992</v>
      </c>
      <c r="I1224" s="252"/>
      <c r="J1224" s="252"/>
      <c r="K1224" s="38">
        <v>6901840</v>
      </c>
      <c r="L1224" s="194" t="s">
        <v>48</v>
      </c>
      <c r="M1224" s="194" t="s">
        <v>284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198"/>
      <c r="AB1224" s="198"/>
      <c r="AC1224" s="198"/>
      <c r="AD1224" s="198"/>
    </row>
    <row r="1225" spans="1:30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74"/>
        <v>7</v>
      </c>
      <c r="C1225" s="191">
        <f t="shared" si="75"/>
        <v>41104</v>
      </c>
      <c r="D1225" s="191" t="s">
        <v>1593</v>
      </c>
      <c r="E1225" s="191">
        <v>41104</v>
      </c>
      <c r="F1225" s="192" t="s">
        <v>1147</v>
      </c>
      <c r="G1225" s="490" t="s">
        <v>756</v>
      </c>
      <c r="H1225" s="193" t="s">
        <v>700</v>
      </c>
      <c r="I1225" s="252">
        <v>136</v>
      </c>
      <c r="J1225" s="252">
        <v>37800</v>
      </c>
      <c r="K1225" s="38">
        <f>ROUND(I1225*J1225,0)</f>
        <v>5140800</v>
      </c>
      <c r="L1225" s="194" t="s">
        <v>284</v>
      </c>
      <c r="M1225" s="194" t="s">
        <v>185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30" ht="15.75" customHeight="1">
      <c r="A1226" s="204" t="str">
        <f>IF(B1226&lt;&gt;"",IF(AND(B1226&gt;=_TM1,B1226&lt;=_TM2,OR(TH!L1226="1111",TH!M1226="1111")),TH!D1226,""),"")</f>
        <v/>
      </c>
      <c r="B1226" s="36">
        <f t="shared" si="74"/>
        <v>7</v>
      </c>
      <c r="C1226" s="191">
        <f t="shared" si="75"/>
        <v>41104</v>
      </c>
      <c r="D1226" s="191" t="s">
        <v>1593</v>
      </c>
      <c r="E1226" s="191">
        <v>41104</v>
      </c>
      <c r="F1226" s="192" t="s">
        <v>1146</v>
      </c>
      <c r="G1226" s="490" t="s">
        <v>756</v>
      </c>
      <c r="H1226" s="193" t="s">
        <v>700</v>
      </c>
      <c r="I1226" s="252">
        <v>47</v>
      </c>
      <c r="J1226" s="252">
        <v>47000</v>
      </c>
      <c r="K1226" s="38">
        <f>ROUND(I1226*J1226,0)</f>
        <v>2209000</v>
      </c>
      <c r="L1226" s="194" t="s">
        <v>284</v>
      </c>
      <c r="M1226" s="194" t="s">
        <v>185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211"/>
      <c r="AB1226" s="211"/>
      <c r="AC1226" s="211"/>
      <c r="AD1226" s="211"/>
    </row>
    <row r="1227" spans="1:30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74"/>
        <v>7</v>
      </c>
      <c r="C1227" s="191">
        <f t="shared" si="75"/>
        <v>41104</v>
      </c>
      <c r="D1227" s="191" t="s">
        <v>1593</v>
      </c>
      <c r="E1227" s="191">
        <v>41104</v>
      </c>
      <c r="F1227" s="192" t="s">
        <v>555</v>
      </c>
      <c r="G1227" s="490" t="s">
        <v>756</v>
      </c>
      <c r="H1227" s="193" t="s">
        <v>700</v>
      </c>
      <c r="I1227" s="252"/>
      <c r="J1227" s="252"/>
      <c r="K1227" s="38">
        <v>734980</v>
      </c>
      <c r="L1227" s="194" t="s">
        <v>284</v>
      </c>
      <c r="M1227" s="194" t="s">
        <v>495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198"/>
      <c r="AB1227" s="198"/>
      <c r="AC1227" s="198"/>
      <c r="AD1227" s="198"/>
    </row>
    <row r="1228" spans="1:30" ht="15.75" customHeight="1">
      <c r="A1228" s="204" t="str">
        <f>IF(B1228&lt;&gt;"",IF(AND(B1228&gt;=_TM1,B1228&lt;=_TM2,OR(TH!L1228="1111",TH!M1228="1111")),TH!D1228,""),"")</f>
        <v/>
      </c>
      <c r="B1228" s="36">
        <f t="shared" si="74"/>
        <v>7</v>
      </c>
      <c r="C1228" s="191">
        <f t="shared" si="75"/>
        <v>41104</v>
      </c>
      <c r="D1228" s="191" t="s">
        <v>1594</v>
      </c>
      <c r="E1228" s="191">
        <v>41104</v>
      </c>
      <c r="F1228" s="192" t="s">
        <v>1037</v>
      </c>
      <c r="G1228" s="490" t="s">
        <v>1038</v>
      </c>
      <c r="H1228" s="193" t="s">
        <v>948</v>
      </c>
      <c r="I1228" s="252">
        <v>342</v>
      </c>
      <c r="J1228" s="252">
        <v>6330</v>
      </c>
      <c r="K1228" s="38">
        <f>ROUND(I1228*J1228,0)</f>
        <v>2164860</v>
      </c>
      <c r="L1228" s="194" t="s">
        <v>284</v>
      </c>
      <c r="M1228" s="194" t="s">
        <v>185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211"/>
      <c r="AB1228" s="211"/>
      <c r="AC1228" s="211"/>
      <c r="AD1228" s="211"/>
    </row>
    <row r="1229" spans="1:30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74"/>
        <v>7</v>
      </c>
      <c r="C1229" s="191">
        <f t="shared" si="75"/>
        <v>41104</v>
      </c>
      <c r="D1229" s="191" t="s">
        <v>1594</v>
      </c>
      <c r="E1229" s="191">
        <v>41104</v>
      </c>
      <c r="F1229" s="192" t="s">
        <v>1227</v>
      </c>
      <c r="G1229" s="490" t="s">
        <v>1038</v>
      </c>
      <c r="H1229" s="193" t="s">
        <v>948</v>
      </c>
      <c r="I1229" s="252">
        <v>105</v>
      </c>
      <c r="J1229" s="252">
        <v>9090</v>
      </c>
      <c r="K1229" s="38">
        <f>ROUND(I1229*J1229,0)</f>
        <v>954450</v>
      </c>
      <c r="L1229" s="194" t="s">
        <v>284</v>
      </c>
      <c r="M1229" s="194" t="s">
        <v>185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30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74"/>
        <v>7</v>
      </c>
      <c r="C1230" s="191">
        <f t="shared" si="75"/>
        <v>41104</v>
      </c>
      <c r="D1230" s="191" t="s">
        <v>1594</v>
      </c>
      <c r="E1230" s="191">
        <v>41104</v>
      </c>
      <c r="F1230" s="192" t="s">
        <v>555</v>
      </c>
      <c r="G1230" s="490" t="s">
        <v>1038</v>
      </c>
      <c r="H1230" s="193" t="s">
        <v>948</v>
      </c>
      <c r="I1230" s="252"/>
      <c r="J1230" s="252"/>
      <c r="K1230" s="38">
        <v>311931</v>
      </c>
      <c r="L1230" s="194" t="s">
        <v>284</v>
      </c>
      <c r="M1230" s="194" t="s">
        <v>495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198"/>
      <c r="AC1230" s="198"/>
      <c r="AD1230" s="198"/>
    </row>
    <row r="1231" spans="1:30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74"/>
        <v>7</v>
      </c>
      <c r="C1231" s="191">
        <f t="shared" si="75"/>
        <v>41104</v>
      </c>
      <c r="D1231" s="191" t="s">
        <v>538</v>
      </c>
      <c r="E1231" s="191">
        <v>41104</v>
      </c>
      <c r="F1231" s="192" t="s">
        <v>365</v>
      </c>
      <c r="G1231" s="490" t="s">
        <v>1038</v>
      </c>
      <c r="H1231" s="193" t="s">
        <v>948</v>
      </c>
      <c r="I1231" s="252"/>
      <c r="J1231" s="252"/>
      <c r="K1231" s="38">
        <v>3431241</v>
      </c>
      <c r="L1231" s="194" t="s">
        <v>48</v>
      </c>
      <c r="M1231" s="194" t="s">
        <v>284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198"/>
      <c r="AB1231" s="198"/>
      <c r="AC1231" s="198"/>
      <c r="AD1231" s="198"/>
    </row>
    <row r="1232" spans="1:30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74"/>
        <v>7</v>
      </c>
      <c r="C1232" s="191">
        <f t="shared" si="75"/>
        <v>41105</v>
      </c>
      <c r="D1232" s="191" t="s">
        <v>1595</v>
      </c>
      <c r="E1232" s="191">
        <v>41105</v>
      </c>
      <c r="F1232" s="192" t="s">
        <v>1152</v>
      </c>
      <c r="G1232" s="490" t="s">
        <v>429</v>
      </c>
      <c r="H1232" s="193" t="s">
        <v>832</v>
      </c>
      <c r="I1232" s="252">
        <v>1287</v>
      </c>
      <c r="J1232" s="252">
        <v>5100</v>
      </c>
      <c r="K1232" s="38">
        <f>ROUND(I1232*J1232,0)</f>
        <v>6563700</v>
      </c>
      <c r="L1232" s="194" t="s">
        <v>284</v>
      </c>
      <c r="M1232" s="194" t="s">
        <v>185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30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74"/>
        <v>7</v>
      </c>
      <c r="C1233" s="191">
        <f t="shared" si="75"/>
        <v>41105</v>
      </c>
      <c r="D1233" s="191" t="s">
        <v>1595</v>
      </c>
      <c r="E1233" s="191">
        <v>41105</v>
      </c>
      <c r="F1233" s="192" t="s">
        <v>1163</v>
      </c>
      <c r="G1233" s="490" t="s">
        <v>429</v>
      </c>
      <c r="H1233" s="193" t="s">
        <v>832</v>
      </c>
      <c r="I1233" s="252">
        <v>1175</v>
      </c>
      <c r="J1233" s="252">
        <v>7110</v>
      </c>
      <c r="K1233" s="38">
        <f>ROUND(I1233*J1233,0)</f>
        <v>8354250</v>
      </c>
      <c r="L1233" s="194" t="s">
        <v>284</v>
      </c>
      <c r="M1233" s="194" t="s">
        <v>185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30" ht="15.75" customHeight="1">
      <c r="A1234" s="204" t="str">
        <f>IF(B1234&lt;&gt;"",IF(AND(B1234&gt;=_TM1,B1234&lt;=_TM2,OR(TH!L1234="1111",TH!M1234="1111")),TH!D1234,""),"")</f>
        <v/>
      </c>
      <c r="B1234" s="36">
        <f t="shared" si="74"/>
        <v>7</v>
      </c>
      <c r="C1234" s="191">
        <f t="shared" si="75"/>
        <v>41105</v>
      </c>
      <c r="D1234" s="191" t="s">
        <v>1595</v>
      </c>
      <c r="E1234" s="191">
        <v>41105</v>
      </c>
      <c r="F1234" s="192" t="s">
        <v>1153</v>
      </c>
      <c r="G1234" s="490" t="s">
        <v>429</v>
      </c>
      <c r="H1234" s="193" t="s">
        <v>832</v>
      </c>
      <c r="I1234" s="254">
        <v>996</v>
      </c>
      <c r="J1234" s="254">
        <v>6150</v>
      </c>
      <c r="K1234" s="38">
        <f>ROUND(I1234*J1234,0)</f>
        <v>6125400</v>
      </c>
      <c r="L1234" s="194" t="s">
        <v>284</v>
      </c>
      <c r="M1234" s="194" t="s">
        <v>185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211"/>
      <c r="AB1234" s="211"/>
      <c r="AC1234" s="211"/>
      <c r="AD1234" s="211"/>
    </row>
    <row r="1235" spans="1:30" ht="15.75" customHeight="1">
      <c r="A1235" s="204" t="str">
        <f>IF(B1235&lt;&gt;"",IF(AND(B1235&gt;=_TM1,B1235&lt;=_TM2,OR(TH!L1235="1111",TH!M1235="1111")),TH!D1235,""),"")</f>
        <v/>
      </c>
      <c r="B1235" s="36">
        <f t="shared" si="74"/>
        <v>7</v>
      </c>
      <c r="C1235" s="191">
        <f t="shared" si="75"/>
        <v>41105</v>
      </c>
      <c r="D1235" s="191" t="s">
        <v>1595</v>
      </c>
      <c r="E1235" s="191">
        <v>41105</v>
      </c>
      <c r="F1235" s="192" t="s">
        <v>1162</v>
      </c>
      <c r="G1235" s="490" t="s">
        <v>429</v>
      </c>
      <c r="H1235" s="193" t="s">
        <v>832</v>
      </c>
      <c r="I1235" s="254">
        <v>1006</v>
      </c>
      <c r="J1235" s="254">
        <v>7050</v>
      </c>
      <c r="K1235" s="38">
        <f>ROUND(I1235*J1235,0)</f>
        <v>7092300</v>
      </c>
      <c r="L1235" s="194" t="s">
        <v>284</v>
      </c>
      <c r="M1235" s="194" t="s">
        <v>185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211"/>
      <c r="AB1235" s="211"/>
      <c r="AC1235" s="211"/>
      <c r="AD1235" s="211"/>
    </row>
    <row r="1236" spans="1:30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74"/>
        <v>7</v>
      </c>
      <c r="C1236" s="191">
        <f t="shared" si="75"/>
        <v>41105</v>
      </c>
      <c r="D1236" s="191" t="s">
        <v>1595</v>
      </c>
      <c r="E1236" s="191">
        <v>41105</v>
      </c>
      <c r="F1236" s="192" t="s">
        <v>1161</v>
      </c>
      <c r="G1236" s="490" t="s">
        <v>429</v>
      </c>
      <c r="H1236" s="193" t="s">
        <v>832</v>
      </c>
      <c r="I1236" s="252">
        <v>1290</v>
      </c>
      <c r="J1236" s="252">
        <v>5100</v>
      </c>
      <c r="K1236" s="38">
        <f>ROUND(I1236*J1236,0)</f>
        <v>6579000</v>
      </c>
      <c r="L1236" s="194" t="s">
        <v>284</v>
      </c>
      <c r="M1236" s="194" t="s">
        <v>185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30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ref="B1237:B1300" si="76">IF(C1237&lt;&gt;"",MONTH(C1237),"")</f>
        <v>7</v>
      </c>
      <c r="C1237" s="191">
        <f t="shared" si="75"/>
        <v>41105</v>
      </c>
      <c r="D1237" s="191" t="s">
        <v>1595</v>
      </c>
      <c r="E1237" s="191">
        <v>41105</v>
      </c>
      <c r="F1237" s="192" t="s">
        <v>555</v>
      </c>
      <c r="G1237" s="490" t="s">
        <v>429</v>
      </c>
      <c r="H1237" s="193" t="s">
        <v>832</v>
      </c>
      <c r="I1237" s="252"/>
      <c r="J1237" s="252"/>
      <c r="K1237" s="38">
        <v>3471465</v>
      </c>
      <c r="L1237" s="194" t="s">
        <v>284</v>
      </c>
      <c r="M1237" s="194" t="s">
        <v>495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198"/>
      <c r="AC1237" s="198"/>
      <c r="AD1237" s="198"/>
    </row>
    <row r="1238" spans="1:30" ht="15.75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41106</v>
      </c>
      <c r="D1238" s="191" t="s">
        <v>364</v>
      </c>
      <c r="E1238" s="191">
        <v>41106</v>
      </c>
      <c r="F1238" s="192" t="s">
        <v>400</v>
      </c>
      <c r="G1238" s="490" t="s">
        <v>361</v>
      </c>
      <c r="H1238" s="7" t="s">
        <v>436</v>
      </c>
      <c r="I1238" s="252"/>
      <c r="J1238" s="252"/>
      <c r="K1238" s="38">
        <v>20000000</v>
      </c>
      <c r="L1238" s="616" t="s">
        <v>8</v>
      </c>
      <c r="M1238" s="194" t="s">
        <v>24</v>
      </c>
      <c r="N1238" s="52" t="str">
        <f>IF(AND('331-CT'!$E$7=TH!H1238,OR(L1238="331",M1238="331")),"331",IF(AND(OR(L1238="131",M1238="131"),H1238='131-CT'!$E$7),"131",""))</f>
        <v>331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>x</v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30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41106</v>
      </c>
      <c r="D1239" s="191" t="s">
        <v>364</v>
      </c>
      <c r="E1239" s="191">
        <v>41106</v>
      </c>
      <c r="F1239" s="192" t="s">
        <v>366</v>
      </c>
      <c r="G1239" s="490" t="s">
        <v>361</v>
      </c>
      <c r="H1239" s="193"/>
      <c r="I1239" s="252"/>
      <c r="J1239" s="252"/>
      <c r="K1239" s="38">
        <v>20000</v>
      </c>
      <c r="L1239" s="194" t="s">
        <v>84</v>
      </c>
      <c r="M1239" s="194" t="s">
        <v>24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>x</v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/>
      <c r="AB1239" s="198"/>
      <c r="AC1239" s="198"/>
      <c r="AD1239" s="198"/>
    </row>
    <row r="1240" spans="1:30" ht="15.75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41106</v>
      </c>
      <c r="D1240" s="191" t="s">
        <v>364</v>
      </c>
      <c r="E1240" s="191">
        <v>41106</v>
      </c>
      <c r="F1240" s="192" t="s">
        <v>400</v>
      </c>
      <c r="G1240" s="490" t="s">
        <v>361</v>
      </c>
      <c r="H1240" s="7" t="s">
        <v>436</v>
      </c>
      <c r="I1240" s="252"/>
      <c r="J1240" s="252"/>
      <c r="K1240" s="38">
        <v>5518000</v>
      </c>
      <c r="L1240" s="616" t="s">
        <v>8</v>
      </c>
      <c r="M1240" s="194" t="s">
        <v>24</v>
      </c>
      <c r="N1240" s="52" t="str">
        <f>IF(AND('331-CT'!$E$7=TH!H1240,OR(L1240="331",M1240="331")),"331",IF(AND(OR(L1240="131",M1240="131"),H1240='131-CT'!$E$7),"131",""))</f>
        <v>331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>x</v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30" ht="15.75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41106</v>
      </c>
      <c r="D1241" s="191" t="s">
        <v>364</v>
      </c>
      <c r="E1241" s="191">
        <v>41106</v>
      </c>
      <c r="F1241" s="192" t="s">
        <v>366</v>
      </c>
      <c r="G1241" s="490" t="s">
        <v>361</v>
      </c>
      <c r="H1241" s="210"/>
      <c r="I1241" s="252"/>
      <c r="J1241" s="252"/>
      <c r="K1241" s="38">
        <v>10000</v>
      </c>
      <c r="L1241" s="194" t="s">
        <v>84</v>
      </c>
      <c r="M1241" s="194" t="s">
        <v>24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>x</v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30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41106</v>
      </c>
      <c r="D1242" s="191" t="s">
        <v>364</v>
      </c>
      <c r="E1242" s="191">
        <v>41106</v>
      </c>
      <c r="F1242" s="192" t="s">
        <v>400</v>
      </c>
      <c r="G1242" s="490" t="s">
        <v>361</v>
      </c>
      <c r="H1242" s="193" t="s">
        <v>744</v>
      </c>
      <c r="I1242" s="252"/>
      <c r="J1242" s="252"/>
      <c r="K1242" s="38">
        <v>11633275</v>
      </c>
      <c r="L1242" s="616" t="s">
        <v>8</v>
      </c>
      <c r="M1242" s="194" t="s">
        <v>24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>x</v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/>
      <c r="AB1242" s="198"/>
      <c r="AC1242" s="198"/>
      <c r="AD1242" s="198"/>
    </row>
    <row r="1243" spans="1:30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41106</v>
      </c>
      <c r="D1243" s="191" t="s">
        <v>364</v>
      </c>
      <c r="E1243" s="191">
        <v>41106</v>
      </c>
      <c r="F1243" s="192" t="s">
        <v>366</v>
      </c>
      <c r="G1243" s="490" t="s">
        <v>361</v>
      </c>
      <c r="H1243" s="193"/>
      <c r="I1243" s="252"/>
      <c r="J1243" s="252"/>
      <c r="K1243" s="38">
        <v>10000</v>
      </c>
      <c r="L1243" s="194" t="s">
        <v>84</v>
      </c>
      <c r="M1243" s="194" t="s">
        <v>24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>x</v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41107</v>
      </c>
      <c r="D1244" s="191" t="s">
        <v>442</v>
      </c>
      <c r="E1244" s="191">
        <v>41107</v>
      </c>
      <c r="F1244" s="192" t="s">
        <v>396</v>
      </c>
      <c r="G1244" s="490" t="s">
        <v>361</v>
      </c>
      <c r="H1244" s="193" t="s">
        <v>684</v>
      </c>
      <c r="I1244" s="252"/>
      <c r="J1244" s="252"/>
      <c r="K1244" s="38">
        <v>37000000</v>
      </c>
      <c r="L1244" s="194" t="s">
        <v>24</v>
      </c>
      <c r="M1244" s="194" t="s">
        <v>48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>x</v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ht="15.75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41107</v>
      </c>
      <c r="D1245" s="191" t="s">
        <v>468</v>
      </c>
      <c r="E1245" s="191">
        <v>41107</v>
      </c>
      <c r="F1245" s="192" t="s">
        <v>1339</v>
      </c>
      <c r="G1245" s="490" t="s">
        <v>819</v>
      </c>
      <c r="H1245" s="7" t="s">
        <v>436</v>
      </c>
      <c r="I1245" s="252">
        <v>250</v>
      </c>
      <c r="J1245" s="252">
        <v>13999</v>
      </c>
      <c r="K1245" s="38">
        <v>3499750</v>
      </c>
      <c r="L1245" s="194" t="s">
        <v>169</v>
      </c>
      <c r="M1245" s="616" t="s">
        <v>8</v>
      </c>
      <c r="N1245" s="52" t="str">
        <f>IF(AND('331-CT'!$E$7=TH!H1245,OR(L1245="331",M1245="331")),"331",IF(AND(OR(L1245="131",M1245="131"),H1245='131-CT'!$E$7),"131",""))</f>
        <v>331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B1245" s="606"/>
    </row>
    <row r="1246" spans="1:30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41107</v>
      </c>
      <c r="D1246" s="191" t="s">
        <v>468</v>
      </c>
      <c r="E1246" s="191">
        <v>41107</v>
      </c>
      <c r="F1246" s="192" t="s">
        <v>1313</v>
      </c>
      <c r="G1246" s="490" t="s">
        <v>819</v>
      </c>
      <c r="H1246" s="7" t="s">
        <v>436</v>
      </c>
      <c r="I1246" s="252">
        <v>250</v>
      </c>
      <c r="J1246" s="252">
        <v>14726</v>
      </c>
      <c r="K1246" s="38">
        <v>3681500</v>
      </c>
      <c r="L1246" s="194" t="s">
        <v>169</v>
      </c>
      <c r="M1246" s="616" t="s">
        <v>8</v>
      </c>
      <c r="N1246" s="52" t="str">
        <f>IF(AND('331-CT'!$E$7=TH!H1246,OR(L1246="331",M1246="331")),"331",IF(AND(OR(L1246="131",M1246="131"),H1246='131-CT'!$E$7),"131",""))</f>
        <v>331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606"/>
      <c r="AC1246" s="198"/>
      <c r="AD1246" s="198"/>
    </row>
    <row r="1247" spans="1:30" ht="15.75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41107</v>
      </c>
      <c r="D1247" s="191" t="s">
        <v>468</v>
      </c>
      <c r="E1247" s="191">
        <v>41107</v>
      </c>
      <c r="F1247" s="192" t="s">
        <v>566</v>
      </c>
      <c r="G1247" s="490" t="s">
        <v>819</v>
      </c>
      <c r="H1247" s="7" t="s">
        <v>436</v>
      </c>
      <c r="I1247" s="252"/>
      <c r="J1247" s="252"/>
      <c r="K1247" s="38">
        <v>718125</v>
      </c>
      <c r="L1247" s="194" t="s">
        <v>9</v>
      </c>
      <c r="M1247" s="616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>
        <v>7</v>
      </c>
    </row>
    <row r="1248" spans="1:30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41107</v>
      </c>
      <c r="D1248" s="191" t="s">
        <v>443</v>
      </c>
      <c r="E1248" s="191">
        <v>41107</v>
      </c>
      <c r="F1248" s="192" t="s">
        <v>400</v>
      </c>
      <c r="G1248" s="490" t="s">
        <v>819</v>
      </c>
      <c r="H1248" s="7" t="s">
        <v>436</v>
      </c>
      <c r="I1248" s="252"/>
      <c r="J1248" s="252"/>
      <c r="K1248" s="38">
        <v>7899375</v>
      </c>
      <c r="L1248" s="194" t="s">
        <v>8</v>
      </c>
      <c r="M1248" s="616" t="s">
        <v>48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198"/>
      <c r="AB1248" s="198"/>
      <c r="AC1248" s="198"/>
      <c r="AD1248" s="198"/>
    </row>
    <row r="1249" spans="1:30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41108</v>
      </c>
      <c r="D1249" s="191" t="s">
        <v>469</v>
      </c>
      <c r="E1249" s="191">
        <v>41108</v>
      </c>
      <c r="F1249" s="192" t="s">
        <v>1296</v>
      </c>
      <c r="G1249" s="490" t="s">
        <v>820</v>
      </c>
      <c r="H1249" s="7" t="s">
        <v>436</v>
      </c>
      <c r="I1249" s="252">
        <v>750</v>
      </c>
      <c r="J1249" s="252">
        <v>17625</v>
      </c>
      <c r="K1249" s="38">
        <v>13218750</v>
      </c>
      <c r="L1249" s="194" t="s">
        <v>169</v>
      </c>
      <c r="M1249" s="616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6"/>
      <c r="AC1249" s="198"/>
      <c r="AD1249" s="198"/>
    </row>
    <row r="1250" spans="1:30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41108</v>
      </c>
      <c r="D1250" s="191" t="s">
        <v>469</v>
      </c>
      <c r="E1250" s="191">
        <v>41108</v>
      </c>
      <c r="F1250" s="192" t="s">
        <v>566</v>
      </c>
      <c r="G1250" s="192" t="s">
        <v>820</v>
      </c>
      <c r="H1250" s="7" t="s">
        <v>436</v>
      </c>
      <c r="I1250" s="252"/>
      <c r="J1250" s="252"/>
      <c r="K1250" s="38">
        <v>1321875</v>
      </c>
      <c r="L1250" s="194" t="s">
        <v>9</v>
      </c>
      <c r="M1250" s="616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  <c r="AB1250" s="198"/>
      <c r="AC1250" s="198"/>
      <c r="AD1250" s="198"/>
    </row>
    <row r="1251" spans="1:30" ht="15.75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41108</v>
      </c>
      <c r="D1251" s="191" t="s">
        <v>444</v>
      </c>
      <c r="E1251" s="191">
        <v>41108</v>
      </c>
      <c r="F1251" s="192" t="s">
        <v>400</v>
      </c>
      <c r="G1251" s="192" t="s">
        <v>820</v>
      </c>
      <c r="H1251" s="7" t="s">
        <v>436</v>
      </c>
      <c r="I1251" s="252"/>
      <c r="J1251" s="252"/>
      <c r="K1251" s="38">
        <v>14540625</v>
      </c>
      <c r="L1251" s="194" t="s">
        <v>8</v>
      </c>
      <c r="M1251" s="616" t="s">
        <v>48</v>
      </c>
      <c r="N1251" s="52" t="str">
        <f>IF(AND('331-CT'!$E$7=TH!H1251,OR(L1251="331",M1251="331")),"331",IF(AND(OR(L1251="131",M1251="131"),H1251='131-CT'!$E$7),"131",""))</f>
        <v>331</v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</row>
    <row r="1252" spans="1:30" ht="15.75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41109</v>
      </c>
      <c r="D1252" s="191" t="s">
        <v>446</v>
      </c>
      <c r="E1252" s="191">
        <v>41109</v>
      </c>
      <c r="F1252" s="192" t="s">
        <v>396</v>
      </c>
      <c r="G1252" s="192" t="s">
        <v>361</v>
      </c>
      <c r="H1252" s="193" t="s">
        <v>684</v>
      </c>
      <c r="I1252" s="252"/>
      <c r="J1252" s="252"/>
      <c r="K1252" s="38">
        <v>15000000</v>
      </c>
      <c r="L1252" s="194" t="s">
        <v>24</v>
      </c>
      <c r="M1252" s="194" t="s">
        <v>48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>x</v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</row>
    <row r="1253" spans="1:30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41109</v>
      </c>
      <c r="D1253" s="191" t="s">
        <v>364</v>
      </c>
      <c r="E1253" s="191">
        <v>41109</v>
      </c>
      <c r="F1253" s="192" t="s">
        <v>400</v>
      </c>
      <c r="G1253" s="192" t="s">
        <v>361</v>
      </c>
      <c r="H1253" s="7" t="s">
        <v>436</v>
      </c>
      <c r="I1253" s="252"/>
      <c r="J1253" s="252"/>
      <c r="K1253" s="38">
        <v>8361184</v>
      </c>
      <c r="L1253" s="616" t="s">
        <v>8</v>
      </c>
      <c r="M1253" s="194" t="s">
        <v>24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>x</v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198"/>
      <c r="AC1253" s="198"/>
      <c r="AD1253" s="198"/>
    </row>
    <row r="1254" spans="1:30" ht="15.75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41109</v>
      </c>
      <c r="D1254" s="191" t="s">
        <v>364</v>
      </c>
      <c r="E1254" s="191">
        <v>41109</v>
      </c>
      <c r="F1254" s="192" t="s">
        <v>400</v>
      </c>
      <c r="G1254" s="192" t="s">
        <v>361</v>
      </c>
      <c r="H1254" s="7" t="s">
        <v>436</v>
      </c>
      <c r="I1254" s="252"/>
      <c r="J1254" s="252"/>
      <c r="K1254" s="38">
        <v>58000000</v>
      </c>
      <c r="L1254" s="616" t="s">
        <v>8</v>
      </c>
      <c r="M1254" s="194" t="s">
        <v>24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>x</v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</row>
    <row r="1255" spans="1:30" ht="15.75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41109</v>
      </c>
      <c r="D1255" s="191" t="s">
        <v>364</v>
      </c>
      <c r="E1255" s="191">
        <v>41109</v>
      </c>
      <c r="F1255" s="192" t="s">
        <v>366</v>
      </c>
      <c r="G1255" s="192" t="s">
        <v>361</v>
      </c>
      <c r="H1255" s="193"/>
      <c r="I1255" s="252"/>
      <c r="J1255" s="252"/>
      <c r="K1255" s="38">
        <v>29000</v>
      </c>
      <c r="L1255" s="194" t="s">
        <v>84</v>
      </c>
      <c r="M1255" s="194" t="s">
        <v>24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>x</v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</row>
    <row r="1256" spans="1:30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41109</v>
      </c>
      <c r="D1256" s="191" t="s">
        <v>364</v>
      </c>
      <c r="E1256" s="191">
        <v>41109</v>
      </c>
      <c r="F1256" s="192" t="s">
        <v>366</v>
      </c>
      <c r="G1256" s="192" t="s">
        <v>361</v>
      </c>
      <c r="H1256" s="193"/>
      <c r="I1256" s="252"/>
      <c r="J1256" s="252"/>
      <c r="K1256" s="38">
        <v>10000</v>
      </c>
      <c r="L1256" s="194" t="s">
        <v>84</v>
      </c>
      <c r="M1256" s="194" t="s">
        <v>24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>x</v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/>
      <c r="AB1256" s="198"/>
      <c r="AC1256" s="198"/>
      <c r="AD1256" s="198"/>
    </row>
    <row r="1257" spans="1:30" ht="15.75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v>41109</v>
      </c>
      <c r="D1257" s="191" t="s">
        <v>364</v>
      </c>
      <c r="E1257" s="191">
        <v>41109</v>
      </c>
      <c r="F1257" s="192" t="s">
        <v>730</v>
      </c>
      <c r="G1257" s="192" t="s">
        <v>361</v>
      </c>
      <c r="H1257" s="210"/>
      <c r="I1257" s="252"/>
      <c r="J1257" s="252"/>
      <c r="K1257" s="38">
        <v>10000</v>
      </c>
      <c r="L1257" s="194" t="s">
        <v>84</v>
      </c>
      <c r="M1257" s="194" t="s">
        <v>24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>x</v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</row>
    <row r="1258" spans="1:30" ht="15.75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v>41109</v>
      </c>
      <c r="D1258" s="191" t="s">
        <v>470</v>
      </c>
      <c r="E1258" s="191">
        <v>41109</v>
      </c>
      <c r="F1258" s="192" t="s">
        <v>1454</v>
      </c>
      <c r="G1258" s="192" t="s">
        <v>821</v>
      </c>
      <c r="H1258" s="7" t="s">
        <v>436</v>
      </c>
      <c r="I1258" s="252">
        <v>1000</v>
      </c>
      <c r="J1258" s="252">
        <v>14732</v>
      </c>
      <c r="K1258" s="38">
        <v>14732000</v>
      </c>
      <c r="L1258" s="194" t="s">
        <v>169</v>
      </c>
      <c r="M1258" s="616" t="s">
        <v>8</v>
      </c>
      <c r="N1258" s="52" t="str">
        <f>IF(AND('331-CT'!$E$7=TH!H1258,OR(L1258="331",M1258="331")),"331",IF(AND(OR(L1258="131",M1258="131"),H1258='131-CT'!$E$7),"131",""))</f>
        <v>331</v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B1258" s="606"/>
    </row>
    <row r="1259" spans="1:30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v>41109</v>
      </c>
      <c r="D1259" s="191" t="s">
        <v>470</v>
      </c>
      <c r="E1259" s="191">
        <v>41109</v>
      </c>
      <c r="F1259" s="192" t="s">
        <v>1460</v>
      </c>
      <c r="G1259" s="192" t="s">
        <v>821</v>
      </c>
      <c r="H1259" s="7" t="s">
        <v>436</v>
      </c>
      <c r="I1259" s="252">
        <v>1500</v>
      </c>
      <c r="J1259" s="252">
        <v>10668</v>
      </c>
      <c r="K1259" s="38">
        <v>16002000</v>
      </c>
      <c r="L1259" s="194" t="s">
        <v>169</v>
      </c>
      <c r="M1259" s="616" t="s">
        <v>8</v>
      </c>
      <c r="N1259" s="52" t="str">
        <f>IF(AND('331-CT'!$E$7=TH!H1259,OR(L1259="331",M1259="331")),"331",IF(AND(OR(L1259="131",M1259="131"),H1259='131-CT'!$E$7),"131",""))</f>
        <v>331</v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606"/>
      <c r="AC1259" s="198"/>
      <c r="AD1259" s="198"/>
    </row>
    <row r="1260" spans="1:30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v>41109</v>
      </c>
      <c r="D1260" s="191" t="s">
        <v>470</v>
      </c>
      <c r="E1260" s="191">
        <v>41109</v>
      </c>
      <c r="F1260" s="192" t="s">
        <v>1460</v>
      </c>
      <c r="G1260" s="490" t="s">
        <v>821</v>
      </c>
      <c r="H1260" s="7" t="s">
        <v>436</v>
      </c>
      <c r="I1260" s="252">
        <v>170</v>
      </c>
      <c r="J1260" s="252">
        <v>10801</v>
      </c>
      <c r="K1260" s="38">
        <v>1836170</v>
      </c>
      <c r="L1260" s="194" t="s">
        <v>169</v>
      </c>
      <c r="M1260" s="616" t="s">
        <v>8</v>
      </c>
      <c r="N1260" s="52" t="str">
        <f>IF(AND('331-CT'!$E$7=TH!H1260,OR(L1260="331",M1260="331")),"331",IF(AND(OR(L1260="131",M1260="131"),H1260='131-CT'!$E$7),"131",""))</f>
        <v>331</v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198"/>
      <c r="AB1260" s="606"/>
      <c r="AC1260" s="198"/>
      <c r="AD1260" s="198"/>
    </row>
    <row r="1261" spans="1:30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v>41109</v>
      </c>
      <c r="D1261" s="191" t="s">
        <v>470</v>
      </c>
      <c r="E1261" s="191">
        <v>41109</v>
      </c>
      <c r="F1261" s="192" t="s">
        <v>1461</v>
      </c>
      <c r="G1261" s="490" t="s">
        <v>821</v>
      </c>
      <c r="H1261" s="7" t="s">
        <v>436</v>
      </c>
      <c r="I1261" s="252">
        <v>200</v>
      </c>
      <c r="J1261" s="252">
        <v>4429</v>
      </c>
      <c r="K1261" s="38">
        <v>885800</v>
      </c>
      <c r="L1261" s="194" t="s">
        <v>169</v>
      </c>
      <c r="M1261" s="616" t="s">
        <v>8</v>
      </c>
      <c r="N1261" s="52" t="str">
        <f>IF(AND('331-CT'!$E$7=TH!H1261,OR(L1261="331",M1261="331")),"331",IF(AND(OR(L1261="131",M1261="131"),H1261='131-CT'!$E$7),"131",""))</f>
        <v>331</v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198"/>
      <c r="AB1261" s="606"/>
      <c r="AC1261" s="198"/>
      <c r="AD1261" s="198"/>
    </row>
    <row r="1262" spans="1:30" ht="15.75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v>41109</v>
      </c>
      <c r="D1262" s="191" t="s">
        <v>470</v>
      </c>
      <c r="E1262" s="191">
        <v>41109</v>
      </c>
      <c r="F1262" s="192" t="s">
        <v>1345</v>
      </c>
      <c r="G1262" s="192" t="s">
        <v>821</v>
      </c>
      <c r="H1262" s="7" t="s">
        <v>436</v>
      </c>
      <c r="I1262" s="252">
        <v>100</v>
      </c>
      <c r="J1262" s="252">
        <v>16985</v>
      </c>
      <c r="K1262" s="38">
        <v>1698500</v>
      </c>
      <c r="L1262" s="194" t="s">
        <v>169</v>
      </c>
      <c r="M1262" s="616" t="s">
        <v>8</v>
      </c>
      <c r="N1262" s="52" t="str">
        <f>IF(AND('331-CT'!$E$7=TH!H1262,OR(L1262="331",M1262="331")),"331",IF(AND(OR(L1262="131",M1262="131"),H1262='131-CT'!$E$7),"131",""))</f>
        <v>331</v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B1262" s="606"/>
    </row>
    <row r="1263" spans="1:30" ht="15.75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v>41109</v>
      </c>
      <c r="D1263" s="191" t="s">
        <v>470</v>
      </c>
      <c r="E1263" s="191">
        <v>41109</v>
      </c>
      <c r="F1263" s="192" t="s">
        <v>1298</v>
      </c>
      <c r="G1263" s="192" t="s">
        <v>821</v>
      </c>
      <c r="H1263" s="7" t="s">
        <v>436</v>
      </c>
      <c r="I1263" s="252">
        <v>1500</v>
      </c>
      <c r="J1263" s="252">
        <v>18306</v>
      </c>
      <c r="K1263" s="38">
        <v>27459000</v>
      </c>
      <c r="L1263" s="194" t="s">
        <v>169</v>
      </c>
      <c r="M1263" s="616" t="s">
        <v>8</v>
      </c>
      <c r="N1263" s="52" t="str">
        <f>IF(AND('331-CT'!$E$7=TH!H1263,OR(L1263="331",M1263="331")),"331",IF(AND(OR(L1263="131",M1263="131"),H1263='131-CT'!$E$7),"131",""))</f>
        <v>331</v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B1263" s="606"/>
    </row>
    <row r="1264" spans="1:30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v>41109</v>
      </c>
      <c r="D1264" s="191" t="s">
        <v>470</v>
      </c>
      <c r="E1264" s="191">
        <v>41109</v>
      </c>
      <c r="F1264" s="192" t="s">
        <v>566</v>
      </c>
      <c r="G1264" s="192" t="s">
        <v>821</v>
      </c>
      <c r="H1264" s="7" t="s">
        <v>436</v>
      </c>
      <c r="I1264" s="252"/>
      <c r="J1264" s="252"/>
      <c r="K1264" s="38">
        <v>6261347</v>
      </c>
      <c r="L1264" s="194" t="s">
        <v>9</v>
      </c>
      <c r="M1264" s="616" t="s">
        <v>8</v>
      </c>
      <c r="N1264" s="52" t="str">
        <f>IF(AND('331-CT'!$E$7=TH!H1264,OR(L1264="331",M1264="331")),"331",IF(AND(OR(L1264="131",M1264="131"),H1264='131-CT'!$E$7),"131",""))</f>
        <v>331</v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198">
        <v>7</v>
      </c>
      <c r="AB1264" s="198"/>
      <c r="AC1264" s="198"/>
      <c r="AD1264" s="198"/>
    </row>
    <row r="1265" spans="1:30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v>41110</v>
      </c>
      <c r="D1265" s="191" t="s">
        <v>363</v>
      </c>
      <c r="E1265" s="191">
        <v>41110</v>
      </c>
      <c r="F1265" s="192" t="s">
        <v>365</v>
      </c>
      <c r="G1265" s="192" t="s">
        <v>361</v>
      </c>
      <c r="H1265" s="193" t="s">
        <v>822</v>
      </c>
      <c r="I1265" s="252"/>
      <c r="J1265" s="252"/>
      <c r="K1265" s="38">
        <v>7345166</v>
      </c>
      <c r="L1265" s="194" t="s">
        <v>24</v>
      </c>
      <c r="M1265" s="194" t="s">
        <v>284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>x</v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41110</v>
      </c>
      <c r="D1266" s="191" t="s">
        <v>471</v>
      </c>
      <c r="E1266" s="191">
        <v>41110</v>
      </c>
      <c r="F1266" s="192" t="s">
        <v>823</v>
      </c>
      <c r="G1266" s="192" t="s">
        <v>824</v>
      </c>
      <c r="H1266" s="193" t="s">
        <v>825</v>
      </c>
      <c r="I1266" s="252">
        <v>120</v>
      </c>
      <c r="J1266" s="252">
        <v>14061</v>
      </c>
      <c r="K1266" s="38">
        <v>1687320</v>
      </c>
      <c r="L1266" s="194" t="s">
        <v>169</v>
      </c>
      <c r="M1266" s="616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606"/>
      <c r="AC1266" s="198"/>
      <c r="AD1266" s="198"/>
    </row>
    <row r="1267" spans="1:30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41110</v>
      </c>
      <c r="D1267" s="191" t="s">
        <v>471</v>
      </c>
      <c r="E1267" s="191">
        <v>41110</v>
      </c>
      <c r="F1267" s="192" t="s">
        <v>826</v>
      </c>
      <c r="G1267" s="192" t="s">
        <v>824</v>
      </c>
      <c r="H1267" s="193" t="s">
        <v>825</v>
      </c>
      <c r="I1267" s="252">
        <v>130</v>
      </c>
      <c r="J1267" s="252">
        <v>13381</v>
      </c>
      <c r="K1267" s="38">
        <v>1739530</v>
      </c>
      <c r="L1267" s="194" t="s">
        <v>169</v>
      </c>
      <c r="M1267" s="616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198"/>
      <c r="AB1267" s="606"/>
      <c r="AC1267" s="198"/>
      <c r="AD1267" s="198"/>
    </row>
    <row r="1268" spans="1:30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41110</v>
      </c>
      <c r="D1268" s="191" t="s">
        <v>471</v>
      </c>
      <c r="E1268" s="191">
        <v>41110</v>
      </c>
      <c r="F1268" s="192" t="s">
        <v>827</v>
      </c>
      <c r="G1268" s="192" t="s">
        <v>824</v>
      </c>
      <c r="H1268" s="210" t="s">
        <v>825</v>
      </c>
      <c r="I1268" s="254">
        <v>250</v>
      </c>
      <c r="J1268" s="254">
        <v>9676</v>
      </c>
      <c r="K1268" s="38">
        <v>2419000</v>
      </c>
      <c r="L1268" s="194" t="s">
        <v>169</v>
      </c>
      <c r="M1268" s="616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198"/>
      <c r="AB1268" s="606"/>
      <c r="AC1268" s="198"/>
      <c r="AD1268" s="198"/>
    </row>
    <row r="1269" spans="1:30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76"/>
        <v>7</v>
      </c>
      <c r="C1269" s="191">
        <v>41110</v>
      </c>
      <c r="D1269" s="191" t="s">
        <v>471</v>
      </c>
      <c r="E1269" s="191">
        <v>41110</v>
      </c>
      <c r="F1269" s="192" t="s">
        <v>828</v>
      </c>
      <c r="G1269" s="192" t="s">
        <v>824</v>
      </c>
      <c r="H1269" s="193" t="s">
        <v>825</v>
      </c>
      <c r="I1269" s="252">
        <v>200</v>
      </c>
      <c r="J1269" s="252">
        <v>10180</v>
      </c>
      <c r="K1269" s="38">
        <v>2036000</v>
      </c>
      <c r="L1269" s="194" t="s">
        <v>169</v>
      </c>
      <c r="M1269" s="616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6"/>
      <c r="AC1269" s="198"/>
      <c r="AD1269" s="198"/>
    </row>
    <row r="1270" spans="1:30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76"/>
        <v>7</v>
      </c>
      <c r="C1270" s="191">
        <v>41110</v>
      </c>
      <c r="D1270" s="191" t="s">
        <v>471</v>
      </c>
      <c r="E1270" s="191">
        <v>41110</v>
      </c>
      <c r="F1270" s="192" t="s">
        <v>829</v>
      </c>
      <c r="G1270" s="192" t="s">
        <v>824</v>
      </c>
      <c r="H1270" s="193" t="s">
        <v>825</v>
      </c>
      <c r="I1270" s="252"/>
      <c r="J1270" s="252"/>
      <c r="K1270" s="38">
        <v>788185</v>
      </c>
      <c r="L1270" s="194" t="s">
        <v>9</v>
      </c>
      <c r="M1270" s="616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>
        <v>8</v>
      </c>
      <c r="AB1270" s="198"/>
      <c r="AC1270" s="198"/>
      <c r="AD1270" s="198"/>
    </row>
    <row r="1271" spans="1:30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76"/>
        <v>7</v>
      </c>
      <c r="C1271" s="191">
        <v>41110</v>
      </c>
      <c r="D1271" s="191" t="s">
        <v>447</v>
      </c>
      <c r="E1271" s="191">
        <v>41110</v>
      </c>
      <c r="F1271" s="192" t="s">
        <v>400</v>
      </c>
      <c r="G1271" s="192" t="s">
        <v>824</v>
      </c>
      <c r="H1271" s="193" t="s">
        <v>825</v>
      </c>
      <c r="I1271" s="252"/>
      <c r="J1271" s="252"/>
      <c r="K1271" s="38">
        <v>8670035</v>
      </c>
      <c r="L1271" s="616" t="s">
        <v>8</v>
      </c>
      <c r="M1271" s="616" t="s">
        <v>48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198"/>
      <c r="AB1271" s="198"/>
      <c r="AC1271" s="198"/>
      <c r="AD1271" s="198"/>
    </row>
    <row r="1272" spans="1:30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76"/>
        <v>7</v>
      </c>
      <c r="C1272" s="191">
        <v>41110</v>
      </c>
      <c r="D1272" s="191" t="s">
        <v>448</v>
      </c>
      <c r="E1272" s="191">
        <v>41110</v>
      </c>
      <c r="F1272" s="192" t="s">
        <v>830</v>
      </c>
      <c r="G1272" s="490" t="s">
        <v>831</v>
      </c>
      <c r="H1272" s="193" t="s">
        <v>401</v>
      </c>
      <c r="I1272" s="252"/>
      <c r="J1272" s="252"/>
      <c r="K1272" s="38">
        <v>3660000</v>
      </c>
      <c r="L1272" s="194" t="s">
        <v>175</v>
      </c>
      <c r="M1272" s="194" t="s">
        <v>48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/>
      <c r="AB1272" s="198"/>
      <c r="AC1272" s="198"/>
      <c r="AD1272" s="198"/>
    </row>
    <row r="1273" spans="1:30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76"/>
        <v>7</v>
      </c>
      <c r="C1273" s="191">
        <v>41110</v>
      </c>
      <c r="D1273" s="191" t="s">
        <v>448</v>
      </c>
      <c r="E1273" s="191">
        <v>41110</v>
      </c>
      <c r="F1273" s="192" t="s">
        <v>372</v>
      </c>
      <c r="G1273" s="192" t="s">
        <v>831</v>
      </c>
      <c r="H1273" s="193" t="s">
        <v>401</v>
      </c>
      <c r="I1273" s="252"/>
      <c r="J1273" s="252"/>
      <c r="K1273" s="38">
        <v>366000</v>
      </c>
      <c r="L1273" s="194" t="s">
        <v>9</v>
      </c>
      <c r="M1273" s="194" t="s">
        <v>48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198">
        <v>7</v>
      </c>
      <c r="AB1273" s="198"/>
      <c r="AC1273" s="198"/>
      <c r="AD1273" s="198"/>
    </row>
    <row r="1274" spans="1:30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76"/>
        <v>7</v>
      </c>
      <c r="C1274" s="191">
        <v>41113</v>
      </c>
      <c r="D1274" s="191" t="s">
        <v>363</v>
      </c>
      <c r="E1274" s="191">
        <v>41113</v>
      </c>
      <c r="F1274" s="192" t="s">
        <v>365</v>
      </c>
      <c r="G1274" s="490" t="s">
        <v>361</v>
      </c>
      <c r="H1274" s="193" t="s">
        <v>832</v>
      </c>
      <c r="I1274" s="252"/>
      <c r="J1274" s="252"/>
      <c r="K1274" s="38">
        <v>38186115</v>
      </c>
      <c r="L1274" s="194" t="s">
        <v>24</v>
      </c>
      <c r="M1274" s="194" t="s">
        <v>284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>x</v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198"/>
      <c r="AB1274" s="198"/>
      <c r="AC1274" s="198"/>
      <c r="AD1274" s="198"/>
    </row>
    <row r="1275" spans="1:30" ht="15.75" customHeight="1">
      <c r="A1275" s="204" t="str">
        <f>IF(B1275&lt;&gt;"",IF(AND(B1275&gt;=_TM1,B1275&lt;=_TM2,OR(TH!L1275="1111",TH!M1275="1111")),TH!D1275,""),"")</f>
        <v/>
      </c>
      <c r="B1275" s="36">
        <f t="shared" si="76"/>
        <v>7</v>
      </c>
      <c r="C1275" s="191">
        <v>41114</v>
      </c>
      <c r="D1275" s="191" t="s">
        <v>543</v>
      </c>
      <c r="E1275" s="191">
        <v>41114</v>
      </c>
      <c r="F1275" s="192" t="s">
        <v>559</v>
      </c>
      <c r="G1275" s="490" t="s">
        <v>361</v>
      </c>
      <c r="H1275" s="210" t="s">
        <v>684</v>
      </c>
      <c r="I1275" s="252"/>
      <c r="J1275" s="252"/>
      <c r="K1275" s="38">
        <v>7500000</v>
      </c>
      <c r="L1275" s="194" t="s">
        <v>48</v>
      </c>
      <c r="M1275" s="194" t="s">
        <v>24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>x</v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</row>
    <row r="1276" spans="1:30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76"/>
        <v>7</v>
      </c>
      <c r="C1276" s="191">
        <v>41115</v>
      </c>
      <c r="D1276" s="191" t="s">
        <v>363</v>
      </c>
      <c r="E1276" s="191">
        <v>41115</v>
      </c>
      <c r="F1276" s="192" t="s">
        <v>365</v>
      </c>
      <c r="G1276" s="490" t="s">
        <v>361</v>
      </c>
      <c r="H1276" s="7" t="s">
        <v>632</v>
      </c>
      <c r="I1276" s="252"/>
      <c r="J1276" s="252"/>
      <c r="K1276" s="38">
        <v>14544464</v>
      </c>
      <c r="L1276" s="194" t="s">
        <v>24</v>
      </c>
      <c r="M1276" s="194" t="s">
        <v>284</v>
      </c>
      <c r="N1276" s="52" t="str">
        <f>IF(AND('331-CT'!$E$7=TH!H1276,OR(L1276="331",M1276="331")),"331",IF(AND(OR(L1276="131",M1276="131"),H1276='131-CT'!$E$7),"131",""))</f>
        <v>131</v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>x</v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198"/>
      <c r="AB1276" s="198"/>
      <c r="AC1276" s="198"/>
      <c r="AD1276" s="198"/>
    </row>
    <row r="1277" spans="1:30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76"/>
        <v>7</v>
      </c>
      <c r="C1277" s="191">
        <v>41115</v>
      </c>
      <c r="D1277" s="191" t="s">
        <v>363</v>
      </c>
      <c r="E1277" s="191">
        <v>41115</v>
      </c>
      <c r="F1277" s="192" t="s">
        <v>398</v>
      </c>
      <c r="G1277" s="490" t="s">
        <v>361</v>
      </c>
      <c r="H1277" s="193"/>
      <c r="I1277" s="252"/>
      <c r="J1277" s="252"/>
      <c r="K1277" s="38">
        <v>62825</v>
      </c>
      <c r="L1277" s="194" t="s">
        <v>24</v>
      </c>
      <c r="M1277" s="194" t="s">
        <v>40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>x</v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198"/>
      <c r="AB1277" s="198"/>
      <c r="AC1277" s="198"/>
      <c r="AD1277" s="198"/>
    </row>
    <row r="1278" spans="1:30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76"/>
        <v>7</v>
      </c>
      <c r="C1278" s="191">
        <v>41115</v>
      </c>
      <c r="D1278" s="191" t="s">
        <v>472</v>
      </c>
      <c r="E1278" s="191">
        <v>41115</v>
      </c>
      <c r="F1278" s="192" t="s">
        <v>1309</v>
      </c>
      <c r="G1278" s="490" t="s">
        <v>833</v>
      </c>
      <c r="H1278" s="7" t="s">
        <v>436</v>
      </c>
      <c r="I1278" s="252">
        <v>564</v>
      </c>
      <c r="J1278" s="252">
        <v>22301</v>
      </c>
      <c r="K1278" s="38">
        <v>12577764</v>
      </c>
      <c r="L1278" s="194" t="s">
        <v>169</v>
      </c>
      <c r="M1278" s="616" t="s">
        <v>8</v>
      </c>
      <c r="N1278" s="52" t="str">
        <f>IF(AND('331-CT'!$E$7=TH!H1278,OR(L1278="331",M1278="331")),"331",IF(AND(OR(L1278="131",M1278="131"),H1278='131-CT'!$E$7),"131",""))</f>
        <v>331</v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198"/>
      <c r="AB1278" s="606"/>
      <c r="AC1278" s="198"/>
      <c r="AD1278" s="198"/>
    </row>
    <row r="1279" spans="1:30" ht="15.75" customHeight="1">
      <c r="A1279" s="204" t="str">
        <f>IF(B1279&lt;&gt;"",IF(AND(B1279&gt;=_TM1,B1279&lt;=_TM2,OR(TH!L1279="1111",TH!M1279="1111")),TH!D1279,""),"")</f>
        <v/>
      </c>
      <c r="B1279" s="36">
        <f t="shared" si="76"/>
        <v>7</v>
      </c>
      <c r="C1279" s="191">
        <v>41115</v>
      </c>
      <c r="D1279" s="191" t="s">
        <v>472</v>
      </c>
      <c r="E1279" s="191">
        <v>41115</v>
      </c>
      <c r="F1279" s="192" t="s">
        <v>1346</v>
      </c>
      <c r="G1279" s="490" t="s">
        <v>833</v>
      </c>
      <c r="H1279" s="7" t="s">
        <v>436</v>
      </c>
      <c r="I1279" s="252">
        <v>170</v>
      </c>
      <c r="J1279" s="252">
        <v>29411</v>
      </c>
      <c r="K1279" s="38">
        <v>4999870</v>
      </c>
      <c r="L1279" s="194" t="s">
        <v>169</v>
      </c>
      <c r="M1279" s="616" t="s">
        <v>8</v>
      </c>
      <c r="N1279" s="52" t="str">
        <f>IF(AND('331-CT'!$E$7=TH!H1279,OR(L1279="331",M1279="331")),"331",IF(AND(OR(L1279="131",M1279="131"),H1279='131-CT'!$E$7),"131",""))</f>
        <v>331</v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B1279" s="606"/>
    </row>
    <row r="1280" spans="1:30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76"/>
        <v>7</v>
      </c>
      <c r="C1280" s="191">
        <v>41115</v>
      </c>
      <c r="D1280" s="191" t="s">
        <v>472</v>
      </c>
      <c r="E1280" s="191">
        <v>41115</v>
      </c>
      <c r="F1280" s="192" t="s">
        <v>1309</v>
      </c>
      <c r="G1280" s="490" t="s">
        <v>833</v>
      </c>
      <c r="H1280" s="7" t="s">
        <v>436</v>
      </c>
      <c r="I1280" s="252">
        <v>436</v>
      </c>
      <c r="J1280" s="252">
        <v>22301</v>
      </c>
      <c r="K1280" s="38">
        <v>9723236</v>
      </c>
      <c r="L1280" s="194" t="s">
        <v>169</v>
      </c>
      <c r="M1280" s="616" t="s">
        <v>8</v>
      </c>
      <c r="N1280" s="52" t="str">
        <f>IF(AND('331-CT'!$E$7=TH!H1280,OR(L1280="331",M1280="331")),"331",IF(AND(OR(L1280="131",M1280="131"),H1280='131-CT'!$E$7),"131",""))</f>
        <v>331</v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198"/>
      <c r="AB1280" s="606"/>
      <c r="AC1280" s="198"/>
      <c r="AD1280" s="198"/>
    </row>
    <row r="1281" spans="1:30" ht="15.75" customHeight="1">
      <c r="A1281" s="204" t="str">
        <f>IF(B1281&lt;&gt;"",IF(AND(B1281&gt;=_TM1,B1281&lt;=_TM2,OR(TH!L1281="1111",TH!M1281="1111")),TH!D1281,""),"")</f>
        <v/>
      </c>
      <c r="B1281" s="36">
        <f t="shared" si="76"/>
        <v>7</v>
      </c>
      <c r="C1281" s="191">
        <v>41115</v>
      </c>
      <c r="D1281" s="191" t="s">
        <v>472</v>
      </c>
      <c r="E1281" s="191">
        <v>41115</v>
      </c>
      <c r="F1281" s="192" t="s">
        <v>566</v>
      </c>
      <c r="G1281" s="490" t="s">
        <v>833</v>
      </c>
      <c r="H1281" s="7" t="s">
        <v>436</v>
      </c>
      <c r="I1281" s="252"/>
      <c r="J1281" s="252"/>
      <c r="K1281" s="38">
        <v>2730087</v>
      </c>
      <c r="L1281" s="194" t="s">
        <v>9</v>
      </c>
      <c r="M1281" s="616" t="s">
        <v>8</v>
      </c>
      <c r="N1281" s="52" t="str">
        <f>IF(AND('331-CT'!$E$7=TH!H1281,OR(L1281="331",M1281="331")),"331",IF(AND(OR(L1281="131",M1281="131"),H1281='131-CT'!$E$7),"131",""))</f>
        <v>331</v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198">
        <v>7</v>
      </c>
    </row>
    <row r="1282" spans="1:30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76"/>
        <v>7</v>
      </c>
      <c r="C1282" s="191">
        <v>41117</v>
      </c>
      <c r="D1282" s="191" t="s">
        <v>363</v>
      </c>
      <c r="E1282" s="191">
        <v>41117</v>
      </c>
      <c r="F1282" s="192" t="s">
        <v>365</v>
      </c>
      <c r="G1282" s="490" t="s">
        <v>361</v>
      </c>
      <c r="H1282" s="193" t="s">
        <v>834</v>
      </c>
      <c r="I1282" s="252"/>
      <c r="J1282" s="252"/>
      <c r="K1282" s="38">
        <v>5005000</v>
      </c>
      <c r="L1282" s="194" t="s">
        <v>24</v>
      </c>
      <c r="M1282" s="194" t="s">
        <v>284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>x</v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198"/>
      <c r="AB1282" s="198"/>
      <c r="AC1282" s="198"/>
      <c r="AD1282" s="198"/>
    </row>
    <row r="1283" spans="1:30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76"/>
        <v>7</v>
      </c>
      <c r="C1283" s="191">
        <v>41117</v>
      </c>
      <c r="D1283" s="191" t="s">
        <v>473</v>
      </c>
      <c r="E1283" s="191">
        <v>41117</v>
      </c>
      <c r="F1283" s="192" t="s">
        <v>1409</v>
      </c>
      <c r="G1283" s="192" t="s">
        <v>835</v>
      </c>
      <c r="H1283" s="7" t="s">
        <v>436</v>
      </c>
      <c r="I1283" s="252">
        <v>260</v>
      </c>
      <c r="J1283" s="252">
        <v>8505</v>
      </c>
      <c r="K1283" s="38">
        <v>2211300</v>
      </c>
      <c r="L1283" s="194" t="s">
        <v>169</v>
      </c>
      <c r="M1283" s="616" t="s">
        <v>8</v>
      </c>
      <c r="N1283" s="52" t="str">
        <f>IF(AND('331-CT'!$E$7=TH!H1283,OR(L1283="331",M1283="331")),"331",IF(AND(OR(L1283="131",M1283="131"),H1283='131-CT'!$E$7),"131",""))</f>
        <v>331</v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198"/>
      <c r="AB1283" s="606"/>
      <c r="AC1283" s="198"/>
      <c r="AD1283" s="198"/>
    </row>
    <row r="1284" spans="1:30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76"/>
        <v>7</v>
      </c>
      <c r="C1284" s="191">
        <v>41117</v>
      </c>
      <c r="D1284" s="191" t="s">
        <v>473</v>
      </c>
      <c r="E1284" s="191">
        <v>41117</v>
      </c>
      <c r="F1284" s="192" t="s">
        <v>1401</v>
      </c>
      <c r="G1284" s="490" t="s">
        <v>835</v>
      </c>
      <c r="H1284" s="7" t="s">
        <v>436</v>
      </c>
      <c r="I1284" s="252">
        <v>500</v>
      </c>
      <c r="J1284" s="252">
        <v>9828</v>
      </c>
      <c r="K1284" s="38">
        <v>4914000</v>
      </c>
      <c r="L1284" s="194" t="s">
        <v>169</v>
      </c>
      <c r="M1284" s="616" t="s">
        <v>8</v>
      </c>
      <c r="N1284" s="52" t="str">
        <f>IF(AND('331-CT'!$E$7=TH!H1284,OR(L1284="331",M1284="331")),"331",IF(AND(OR(L1284="131",M1284="131"),H1284='131-CT'!$E$7),"131",""))</f>
        <v>331</v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606"/>
      <c r="AC1284" s="198"/>
      <c r="AD1284" s="198"/>
    </row>
    <row r="1285" spans="1:30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76"/>
        <v>7</v>
      </c>
      <c r="C1285" s="191">
        <v>41117</v>
      </c>
      <c r="D1285" s="191" t="s">
        <v>473</v>
      </c>
      <c r="E1285" s="191">
        <v>41117</v>
      </c>
      <c r="F1285" s="192" t="s">
        <v>1299</v>
      </c>
      <c r="G1285" s="490" t="s">
        <v>835</v>
      </c>
      <c r="H1285" s="7" t="s">
        <v>436</v>
      </c>
      <c r="I1285" s="252">
        <v>1600</v>
      </c>
      <c r="J1285" s="252">
        <v>10775</v>
      </c>
      <c r="K1285" s="38">
        <v>17240000</v>
      </c>
      <c r="L1285" s="194" t="s">
        <v>169</v>
      </c>
      <c r="M1285" s="616" t="s">
        <v>8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606"/>
      <c r="AC1285" s="198"/>
      <c r="AD1285" s="198"/>
    </row>
    <row r="1286" spans="1:30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76"/>
        <v>7</v>
      </c>
      <c r="C1286" s="191">
        <v>41117</v>
      </c>
      <c r="D1286" s="191" t="s">
        <v>473</v>
      </c>
      <c r="E1286" s="191">
        <v>41117</v>
      </c>
      <c r="F1286" s="192" t="s">
        <v>1347</v>
      </c>
      <c r="G1286" s="192" t="s">
        <v>835</v>
      </c>
      <c r="H1286" s="7" t="s">
        <v>436</v>
      </c>
      <c r="I1286" s="252">
        <v>110</v>
      </c>
      <c r="J1286" s="252">
        <v>19950</v>
      </c>
      <c r="K1286" s="38">
        <v>2194500</v>
      </c>
      <c r="L1286" s="194" t="s">
        <v>169</v>
      </c>
      <c r="M1286" s="616" t="s">
        <v>8</v>
      </c>
      <c r="N1286" s="52" t="str">
        <f>IF(AND('331-CT'!$E$7=TH!H1286,OR(L1286="331",M1286="331")),"331",IF(AND(OR(L1286="131",M1286="131"),H1286='131-CT'!$E$7),"131",""))</f>
        <v>331</v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198"/>
      <c r="AB1286" s="606"/>
      <c r="AC1286" s="198"/>
      <c r="AD1286" s="198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76"/>
        <v>7</v>
      </c>
      <c r="C1287" s="191">
        <v>41117</v>
      </c>
      <c r="D1287" s="191" t="s">
        <v>473</v>
      </c>
      <c r="E1287" s="191">
        <v>41117</v>
      </c>
      <c r="F1287" s="192" t="s">
        <v>566</v>
      </c>
      <c r="G1287" s="192" t="s">
        <v>835</v>
      </c>
      <c r="H1287" s="7" t="s">
        <v>436</v>
      </c>
      <c r="I1287" s="252"/>
      <c r="J1287" s="252"/>
      <c r="K1287" s="38">
        <v>2655980</v>
      </c>
      <c r="L1287" s="194" t="s">
        <v>9</v>
      </c>
      <c r="M1287" s="616" t="s">
        <v>8</v>
      </c>
      <c r="N1287" s="52" t="str">
        <f>IF(AND('331-CT'!$E$7=TH!H1287,OR(L1287="331",M1287="331")),"331",IF(AND(OR(L1287="131",M1287="131"),H1287='131-CT'!$E$7),"131",""))</f>
        <v>331</v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>
        <v>7</v>
      </c>
      <c r="AB1287" s="198"/>
      <c r="AC1287" s="198"/>
      <c r="AD1287" s="198"/>
    </row>
    <row r="1288" spans="1:30" s="894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76"/>
        <v>7</v>
      </c>
      <c r="C1288" s="191">
        <f t="shared" ref="C1288:C1297" si="77">E1288</f>
        <v>41117</v>
      </c>
      <c r="D1288" s="191" t="s">
        <v>1596</v>
      </c>
      <c r="E1288" s="191">
        <v>41117</v>
      </c>
      <c r="F1288" s="192" t="s">
        <v>1160</v>
      </c>
      <c r="G1288" s="490" t="s">
        <v>1039</v>
      </c>
      <c r="H1288" s="193" t="s">
        <v>958</v>
      </c>
      <c r="I1288" s="252">
        <v>615</v>
      </c>
      <c r="J1288" s="252">
        <v>8360</v>
      </c>
      <c r="K1288" s="38">
        <f>ROUND(I1288*J1288,0)</f>
        <v>5141400</v>
      </c>
      <c r="L1288" s="194" t="s">
        <v>284</v>
      </c>
      <c r="M1288" s="194" t="s">
        <v>185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211"/>
      <c r="AB1288" s="211"/>
      <c r="AC1288" s="211"/>
      <c r="AD1288" s="211"/>
    </row>
    <row r="1289" spans="1:30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76"/>
        <v>7</v>
      </c>
      <c r="C1289" s="191">
        <f t="shared" si="77"/>
        <v>41117</v>
      </c>
      <c r="D1289" s="191" t="s">
        <v>1596</v>
      </c>
      <c r="E1289" s="191">
        <v>41117</v>
      </c>
      <c r="F1289" s="192" t="s">
        <v>1132</v>
      </c>
      <c r="G1289" s="490" t="s">
        <v>1039</v>
      </c>
      <c r="H1289" s="193" t="s">
        <v>958</v>
      </c>
      <c r="I1289" s="252">
        <v>200</v>
      </c>
      <c r="J1289" s="252">
        <v>11000</v>
      </c>
      <c r="K1289" s="38">
        <f>ROUND(I1289*J1289,0)</f>
        <v>2200000</v>
      </c>
      <c r="L1289" s="194" t="s">
        <v>284</v>
      </c>
      <c r="M1289" s="194" t="s">
        <v>185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</row>
    <row r="1290" spans="1:30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76"/>
        <v>7</v>
      </c>
      <c r="C1290" s="191">
        <f t="shared" si="77"/>
        <v>41117</v>
      </c>
      <c r="D1290" s="191" t="s">
        <v>1596</v>
      </c>
      <c r="E1290" s="191">
        <v>41117</v>
      </c>
      <c r="F1290" s="192" t="s">
        <v>555</v>
      </c>
      <c r="G1290" s="490" t="s">
        <v>1039</v>
      </c>
      <c r="H1290" s="193" t="s">
        <v>958</v>
      </c>
      <c r="I1290" s="252"/>
      <c r="J1290" s="252"/>
      <c r="K1290" s="38">
        <v>734140</v>
      </c>
      <c r="L1290" s="194" t="s">
        <v>284</v>
      </c>
      <c r="M1290" s="194" t="s">
        <v>495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customHeight="1">
      <c r="A1291" s="204" t="str">
        <f>IF(B1291&lt;&gt;"",IF(AND(B1291&gt;=_TM1,B1291&lt;=_TM2,OR(TH!L1291="1111",TH!M1291="1111")),TH!D1291,""),"")</f>
        <v/>
      </c>
      <c r="B1291" s="36">
        <f t="shared" si="76"/>
        <v>7</v>
      </c>
      <c r="C1291" s="191">
        <f t="shared" si="77"/>
        <v>41117</v>
      </c>
      <c r="D1291" s="191" t="s">
        <v>542</v>
      </c>
      <c r="E1291" s="191">
        <v>41117</v>
      </c>
      <c r="F1291" s="192" t="s">
        <v>365</v>
      </c>
      <c r="G1291" s="490" t="s">
        <v>1039</v>
      </c>
      <c r="H1291" s="193" t="s">
        <v>958</v>
      </c>
      <c r="I1291" s="252"/>
      <c r="J1291" s="252"/>
      <c r="K1291" s="38">
        <v>8075540</v>
      </c>
      <c r="L1291" s="194" t="s">
        <v>48</v>
      </c>
      <c r="M1291" s="194" t="s">
        <v>284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</row>
    <row r="1292" spans="1:30" ht="15.75" customHeight="1">
      <c r="A1292" s="204" t="str">
        <f>IF(B1292&lt;&gt;"",IF(AND(B1292&gt;=_TM1,B1292&lt;=_TM2,OR(TH!L1292="1111",TH!M1292="1111")),TH!D1292,""),"")</f>
        <v/>
      </c>
      <c r="B1292" s="36">
        <f t="shared" si="76"/>
        <v>7</v>
      </c>
      <c r="C1292" s="191">
        <f t="shared" si="77"/>
        <v>41117</v>
      </c>
      <c r="D1292" s="191" t="s">
        <v>1597</v>
      </c>
      <c r="E1292" s="191">
        <v>41117</v>
      </c>
      <c r="F1292" s="192" t="s">
        <v>1158</v>
      </c>
      <c r="G1292" s="490" t="s">
        <v>1040</v>
      </c>
      <c r="H1292" s="193" t="s">
        <v>954</v>
      </c>
      <c r="I1292" s="252">
        <v>200</v>
      </c>
      <c r="J1292" s="252">
        <v>21779</v>
      </c>
      <c r="K1292" s="38">
        <f>ROUND(I1292*J1292,0)</f>
        <v>4355800</v>
      </c>
      <c r="L1292" s="194" t="s">
        <v>284</v>
      </c>
      <c r="M1292" s="194" t="s">
        <v>185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211"/>
      <c r="AB1292" s="211"/>
      <c r="AC1292" s="211"/>
      <c r="AD1292" s="211"/>
    </row>
    <row r="1293" spans="1:30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76"/>
        <v>7</v>
      </c>
      <c r="C1293" s="191">
        <f t="shared" si="77"/>
        <v>41117</v>
      </c>
      <c r="D1293" s="191" t="s">
        <v>1597</v>
      </c>
      <c r="E1293" s="191">
        <v>41117</v>
      </c>
      <c r="F1293" s="192" t="s">
        <v>1159</v>
      </c>
      <c r="G1293" s="490" t="s">
        <v>1040</v>
      </c>
      <c r="H1293" s="193" t="s">
        <v>954</v>
      </c>
      <c r="I1293" s="252">
        <v>200</v>
      </c>
      <c r="J1293" s="252">
        <v>4600</v>
      </c>
      <c r="K1293" s="38">
        <f>ROUND(I1293*J1293,0)</f>
        <v>920000</v>
      </c>
      <c r="L1293" s="194" t="s">
        <v>284</v>
      </c>
      <c r="M1293" s="194" t="s">
        <v>185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6"/>
        <v>7</v>
      </c>
      <c r="C1294" s="191">
        <f t="shared" si="77"/>
        <v>41117</v>
      </c>
      <c r="D1294" s="191" t="s">
        <v>1597</v>
      </c>
      <c r="E1294" s="191">
        <v>41117</v>
      </c>
      <c r="F1294" s="192" t="s">
        <v>555</v>
      </c>
      <c r="G1294" s="490" t="s">
        <v>1040</v>
      </c>
      <c r="H1294" s="193" t="s">
        <v>954</v>
      </c>
      <c r="I1294" s="252"/>
      <c r="J1294" s="252"/>
      <c r="K1294" s="38">
        <v>527580</v>
      </c>
      <c r="L1294" s="194" t="s">
        <v>284</v>
      </c>
      <c r="M1294" s="194" t="s">
        <v>495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</row>
    <row r="1295" spans="1:30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76"/>
        <v>7</v>
      </c>
      <c r="C1295" s="191">
        <f t="shared" si="77"/>
        <v>41117</v>
      </c>
      <c r="D1295" s="191" t="s">
        <v>1640</v>
      </c>
      <c r="E1295" s="191">
        <v>41117</v>
      </c>
      <c r="F1295" s="192" t="s">
        <v>365</v>
      </c>
      <c r="G1295" s="490" t="s">
        <v>1040</v>
      </c>
      <c r="H1295" s="193" t="s">
        <v>954</v>
      </c>
      <c r="I1295" s="252"/>
      <c r="J1295" s="252"/>
      <c r="K1295" s="38">
        <v>5803380</v>
      </c>
      <c r="L1295" s="194" t="s">
        <v>48</v>
      </c>
      <c r="M1295" s="194" t="s">
        <v>284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198"/>
      <c r="AB1295" s="198"/>
      <c r="AC1295" s="198"/>
      <c r="AD1295" s="198"/>
    </row>
    <row r="1296" spans="1:30" ht="15.75" customHeight="1">
      <c r="A1296" s="204" t="str">
        <f>IF(B1296&lt;&gt;"",IF(AND(B1296&gt;=_TM1,B1296&lt;=_TM2,OR(TH!L1296="1111",TH!M1296="1111")),TH!D1296,""),"")</f>
        <v/>
      </c>
      <c r="B1296" s="36">
        <f t="shared" si="76"/>
        <v>7</v>
      </c>
      <c r="C1296" s="191">
        <f t="shared" si="77"/>
        <v>41117</v>
      </c>
      <c r="D1296" s="191" t="s">
        <v>1598</v>
      </c>
      <c r="E1296" s="191">
        <v>41117</v>
      </c>
      <c r="F1296" s="192" t="s">
        <v>1157</v>
      </c>
      <c r="G1296" s="490" t="s">
        <v>430</v>
      </c>
      <c r="H1296" s="7" t="s">
        <v>500</v>
      </c>
      <c r="I1296" s="252">
        <v>504</v>
      </c>
      <c r="J1296" s="252">
        <v>10900</v>
      </c>
      <c r="K1296" s="38">
        <f>ROUND(I1296*J1296,0)</f>
        <v>5493600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211"/>
      <c r="AB1296" s="211"/>
      <c r="AC1296" s="211"/>
      <c r="AD1296" s="211"/>
    </row>
    <row r="1297" spans="1:30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76"/>
        <v>7</v>
      </c>
      <c r="C1297" s="191">
        <f t="shared" si="77"/>
        <v>41117</v>
      </c>
      <c r="D1297" s="191" t="s">
        <v>1598</v>
      </c>
      <c r="E1297" s="191">
        <v>41117</v>
      </c>
      <c r="F1297" s="192" t="s">
        <v>555</v>
      </c>
      <c r="G1297" s="490" t="s">
        <v>430</v>
      </c>
      <c r="H1297" s="7" t="s">
        <v>500</v>
      </c>
      <c r="I1297" s="252"/>
      <c r="J1297" s="252"/>
      <c r="K1297" s="38">
        <v>549360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76"/>
        <v>7</v>
      </c>
      <c r="C1298" s="191">
        <v>41118</v>
      </c>
      <c r="D1298" s="191" t="s">
        <v>449</v>
      </c>
      <c r="E1298" s="191">
        <v>41118</v>
      </c>
      <c r="F1298" s="192" t="s">
        <v>396</v>
      </c>
      <c r="G1298" s="192" t="s">
        <v>361</v>
      </c>
      <c r="H1298" s="193" t="s">
        <v>684</v>
      </c>
      <c r="I1298" s="252"/>
      <c r="J1298" s="252"/>
      <c r="K1298" s="38">
        <v>12000000</v>
      </c>
      <c r="L1298" s="194" t="s">
        <v>24</v>
      </c>
      <c r="M1298" s="194" t="s">
        <v>48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>x</v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198"/>
      <c r="AB1298" s="198"/>
      <c r="AC1298" s="198"/>
      <c r="AD1298" s="198"/>
    </row>
    <row r="1299" spans="1:30" ht="15.75" customHeight="1">
      <c r="A1299" s="204" t="str">
        <f>IF(B1299&lt;&gt;"",IF(AND(B1299&gt;=_TM1,B1299&lt;=_TM2,OR(TH!L1299="1111",TH!M1299="1111")),TH!D1299,""),"")</f>
        <v/>
      </c>
      <c r="B1299" s="36">
        <f t="shared" si="76"/>
        <v>7</v>
      </c>
      <c r="C1299" s="191">
        <v>41118</v>
      </c>
      <c r="D1299" s="191" t="s">
        <v>474</v>
      </c>
      <c r="E1299" s="191">
        <v>41118</v>
      </c>
      <c r="F1299" s="192" t="s">
        <v>1413</v>
      </c>
      <c r="G1299" s="192" t="s">
        <v>836</v>
      </c>
      <c r="H1299" s="7" t="s">
        <v>436</v>
      </c>
      <c r="I1299" s="254">
        <v>260</v>
      </c>
      <c r="J1299" s="254">
        <v>17722</v>
      </c>
      <c r="K1299" s="38">
        <v>4607720</v>
      </c>
      <c r="L1299" s="194" t="s">
        <v>169</v>
      </c>
      <c r="M1299" s="616" t="s">
        <v>8</v>
      </c>
      <c r="N1299" s="52" t="str">
        <f>IF(AND('331-CT'!$E$7=TH!H1299,OR(L1299="331",M1299="331")),"331",IF(AND(OR(L1299="131",M1299="131"),H1299='131-CT'!$E$7),"131",""))</f>
        <v>331</v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B1299" s="606"/>
    </row>
    <row r="1300" spans="1:30" ht="15.75" customHeight="1">
      <c r="A1300" s="204" t="str">
        <f>IF(B1300&lt;&gt;"",IF(AND(B1300&gt;=_TM1,B1300&lt;=_TM2,OR(TH!L1300="1111",TH!M1300="1111")),TH!D1300,""),"")</f>
        <v/>
      </c>
      <c r="B1300" s="36">
        <f t="shared" si="76"/>
        <v>7</v>
      </c>
      <c r="C1300" s="191">
        <v>41118</v>
      </c>
      <c r="D1300" s="191" t="s">
        <v>474</v>
      </c>
      <c r="E1300" s="191">
        <v>41118</v>
      </c>
      <c r="F1300" s="192" t="s">
        <v>1348</v>
      </c>
      <c r="G1300" s="192" t="s">
        <v>836</v>
      </c>
      <c r="H1300" s="7" t="s">
        <v>436</v>
      </c>
      <c r="I1300" s="252">
        <v>340</v>
      </c>
      <c r="J1300" s="252">
        <v>15889</v>
      </c>
      <c r="K1300" s="38">
        <v>5402260</v>
      </c>
      <c r="L1300" s="194" t="s">
        <v>169</v>
      </c>
      <c r="M1300" s="616" t="s">
        <v>8</v>
      </c>
      <c r="N1300" s="52" t="str">
        <f>IF(AND('331-CT'!$E$7=TH!H1300,OR(L1300="331",M1300="331")),"331",IF(AND(OR(L1300="131",M1300="131"),H1300='131-CT'!$E$7),"131",""))</f>
        <v>331</v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B1300" s="606"/>
    </row>
    <row r="1301" spans="1:30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ref="B1301:B1364" si="78">IF(C1301&lt;&gt;"",MONTH(C1301),"")</f>
        <v>7</v>
      </c>
      <c r="C1301" s="191">
        <v>41118</v>
      </c>
      <c r="D1301" s="191" t="s">
        <v>474</v>
      </c>
      <c r="E1301" s="191">
        <v>41118</v>
      </c>
      <c r="F1301" s="192" t="s">
        <v>1329</v>
      </c>
      <c r="G1301" s="192" t="s">
        <v>836</v>
      </c>
      <c r="H1301" s="7" t="s">
        <v>436</v>
      </c>
      <c r="I1301" s="252">
        <v>520</v>
      </c>
      <c r="J1301" s="252">
        <v>23028</v>
      </c>
      <c r="K1301" s="38">
        <v>11974560</v>
      </c>
      <c r="L1301" s="194" t="s">
        <v>169</v>
      </c>
      <c r="M1301" s="616" t="s">
        <v>8</v>
      </c>
      <c r="N1301" s="52" t="str">
        <f>IF(AND('331-CT'!$E$7=TH!H1301,OR(L1301="331",M1301="331")),"331",IF(AND(OR(L1301="131",M1301="131"),H1301='131-CT'!$E$7),"131",""))</f>
        <v>331</v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198"/>
      <c r="AB1301" s="606"/>
      <c r="AC1301" s="198"/>
      <c r="AD1301" s="198"/>
    </row>
    <row r="1302" spans="1:30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78"/>
        <v>7</v>
      </c>
      <c r="C1302" s="191">
        <v>41118</v>
      </c>
      <c r="D1302" s="191" t="s">
        <v>474</v>
      </c>
      <c r="E1302" s="191">
        <v>41118</v>
      </c>
      <c r="F1302" s="192" t="s">
        <v>1299</v>
      </c>
      <c r="G1302" s="192" t="s">
        <v>836</v>
      </c>
      <c r="H1302" s="7" t="s">
        <v>436</v>
      </c>
      <c r="I1302" s="252">
        <v>2000</v>
      </c>
      <c r="J1302" s="252">
        <v>10775</v>
      </c>
      <c r="K1302" s="38">
        <v>21550000</v>
      </c>
      <c r="L1302" s="194" t="s">
        <v>169</v>
      </c>
      <c r="M1302" s="616" t="s">
        <v>8</v>
      </c>
      <c r="N1302" s="52" t="str">
        <f>IF(AND('331-CT'!$E$7=TH!H1302,OR(L1302="331",M1302="331")),"331",IF(AND(OR(L1302="131",M1302="131"),H1302='131-CT'!$E$7),"131",""))</f>
        <v>331</v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606"/>
      <c r="AC1302" s="198"/>
      <c r="AD1302" s="198"/>
    </row>
    <row r="1303" spans="1:30" ht="15.75" customHeight="1">
      <c r="A1303" s="204" t="str">
        <f>IF(B1303&lt;&gt;"",IF(AND(B1303&gt;=_TM1,B1303&lt;=_TM2,OR(TH!L1303="1111",TH!M1303="1111")),TH!D1303,""),"")</f>
        <v/>
      </c>
      <c r="B1303" s="36">
        <f t="shared" si="78"/>
        <v>7</v>
      </c>
      <c r="C1303" s="191">
        <v>41118</v>
      </c>
      <c r="D1303" s="191" t="s">
        <v>474</v>
      </c>
      <c r="E1303" s="191">
        <v>41118</v>
      </c>
      <c r="F1303" s="192" t="s">
        <v>1283</v>
      </c>
      <c r="G1303" s="192" t="s">
        <v>836</v>
      </c>
      <c r="H1303" s="7" t="s">
        <v>436</v>
      </c>
      <c r="I1303" s="252">
        <v>90</v>
      </c>
      <c r="J1303" s="252">
        <v>11150</v>
      </c>
      <c r="K1303" s="38">
        <v>1003500</v>
      </c>
      <c r="L1303" s="194" t="s">
        <v>169</v>
      </c>
      <c r="M1303" s="616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B1303" s="606"/>
    </row>
    <row r="1304" spans="1:30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78"/>
        <v>7</v>
      </c>
      <c r="C1304" s="191">
        <v>41118</v>
      </c>
      <c r="D1304" s="191" t="s">
        <v>474</v>
      </c>
      <c r="E1304" s="191">
        <v>41118</v>
      </c>
      <c r="F1304" s="192" t="s">
        <v>566</v>
      </c>
      <c r="G1304" s="192" t="s">
        <v>836</v>
      </c>
      <c r="H1304" s="7" t="s">
        <v>436</v>
      </c>
      <c r="I1304" s="252"/>
      <c r="J1304" s="252"/>
      <c r="K1304" s="38">
        <v>4453804</v>
      </c>
      <c r="L1304" s="194" t="s">
        <v>9</v>
      </c>
      <c r="M1304" s="616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>
        <v>7</v>
      </c>
      <c r="AB1304" s="198"/>
      <c r="AC1304" s="198"/>
      <c r="AD1304" s="198"/>
    </row>
    <row r="1305" spans="1:30" ht="15.75" customHeight="1">
      <c r="A1305" s="204" t="str">
        <f>IF(B1305&lt;&gt;"",IF(AND(B1305&gt;=_TM1,B1305&lt;=_TM2,OR(TH!L1305="1111",TH!M1305="1111")),TH!D1305,""),"")</f>
        <v/>
      </c>
      <c r="B1305" s="36">
        <f t="shared" si="78"/>
        <v>7</v>
      </c>
      <c r="C1305" s="191">
        <f t="shared" ref="C1305:C1316" si="79">E1305</f>
        <v>41118</v>
      </c>
      <c r="D1305" s="191" t="s">
        <v>1599</v>
      </c>
      <c r="E1305" s="191">
        <v>41118</v>
      </c>
      <c r="F1305" s="192" t="s">
        <v>551</v>
      </c>
      <c r="G1305" s="490" t="s">
        <v>1041</v>
      </c>
      <c r="H1305" s="193" t="s">
        <v>1042</v>
      </c>
      <c r="I1305" s="252">
        <v>500</v>
      </c>
      <c r="J1305" s="252">
        <v>3000</v>
      </c>
      <c r="K1305" s="38">
        <f>ROUND(I1305*J1305,0)</f>
        <v>1500000</v>
      </c>
      <c r="L1305" s="194" t="s">
        <v>284</v>
      </c>
      <c r="M1305" s="194" t="s">
        <v>185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211"/>
      <c r="AB1305" s="211"/>
      <c r="AC1305" s="211"/>
      <c r="AD1305" s="211"/>
    </row>
    <row r="1306" spans="1:30" ht="15.75" customHeight="1">
      <c r="A1306" s="204" t="str">
        <f>IF(B1306&lt;&gt;"",IF(AND(B1306&gt;=_TM1,B1306&lt;=_TM2,OR(TH!L1306="1111",TH!M1306="1111")),TH!D1306,""),"")</f>
        <v/>
      </c>
      <c r="B1306" s="36">
        <f t="shared" si="78"/>
        <v>7</v>
      </c>
      <c r="C1306" s="191">
        <f t="shared" si="79"/>
        <v>41118</v>
      </c>
      <c r="D1306" s="191" t="s">
        <v>1599</v>
      </c>
      <c r="E1306" s="191">
        <v>41118</v>
      </c>
      <c r="F1306" s="192" t="s">
        <v>555</v>
      </c>
      <c r="G1306" s="490" t="s">
        <v>1041</v>
      </c>
      <c r="H1306" s="193" t="s">
        <v>1042</v>
      </c>
      <c r="I1306" s="252"/>
      <c r="J1306" s="252"/>
      <c r="K1306" s="38">
        <v>150000</v>
      </c>
      <c r="L1306" s="194" t="s">
        <v>284</v>
      </c>
      <c r="M1306" s="194" t="s">
        <v>495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</row>
    <row r="1307" spans="1:30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78"/>
        <v>7</v>
      </c>
      <c r="C1307" s="191">
        <f t="shared" si="79"/>
        <v>41118</v>
      </c>
      <c r="D1307" s="191" t="s">
        <v>1641</v>
      </c>
      <c r="E1307" s="191">
        <v>41118</v>
      </c>
      <c r="F1307" s="192" t="s">
        <v>365</v>
      </c>
      <c r="G1307" s="490" t="s">
        <v>1041</v>
      </c>
      <c r="H1307" s="193" t="s">
        <v>1042</v>
      </c>
      <c r="I1307" s="252"/>
      <c r="J1307" s="252"/>
      <c r="K1307" s="38">
        <v>1650000</v>
      </c>
      <c r="L1307" s="194" t="s">
        <v>48</v>
      </c>
      <c r="M1307" s="194" t="s">
        <v>284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198"/>
      <c r="AB1307" s="198"/>
      <c r="AC1307" s="198"/>
      <c r="AD1307" s="198"/>
    </row>
    <row r="1308" spans="1:30" ht="15.75" customHeight="1">
      <c r="A1308" s="204" t="str">
        <f>IF(B1308&lt;&gt;"",IF(AND(B1308&gt;=_TM1,B1308&lt;=_TM2,OR(TH!L1308="1111",TH!M1308="1111")),TH!D1308,""),"")</f>
        <v/>
      </c>
      <c r="B1308" s="36">
        <f t="shared" si="78"/>
        <v>7</v>
      </c>
      <c r="C1308" s="191">
        <f t="shared" si="79"/>
        <v>41118</v>
      </c>
      <c r="D1308" s="886" t="s">
        <v>1600</v>
      </c>
      <c r="E1308" s="886">
        <v>41118</v>
      </c>
      <c r="F1308" s="192" t="s">
        <v>1499</v>
      </c>
      <c r="G1308" s="888" t="s">
        <v>1043</v>
      </c>
      <c r="H1308" s="7" t="s">
        <v>496</v>
      </c>
      <c r="I1308" s="252">
        <v>121</v>
      </c>
      <c r="J1308" s="252">
        <v>5805</v>
      </c>
      <c r="K1308" s="38">
        <f t="shared" ref="K1308:K1315" si="80">ROUND(I1308*J1308,0)</f>
        <v>702405</v>
      </c>
      <c r="L1308" s="194" t="s">
        <v>284</v>
      </c>
      <c r="M1308" s="194" t="s">
        <v>185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211"/>
      <c r="AB1308" s="211"/>
      <c r="AC1308" s="211"/>
      <c r="AD1308" s="211"/>
    </row>
    <row r="1309" spans="1:30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78"/>
        <v>7</v>
      </c>
      <c r="C1309" s="191">
        <f t="shared" si="79"/>
        <v>41118</v>
      </c>
      <c r="D1309" s="886" t="s">
        <v>1600</v>
      </c>
      <c r="E1309" s="886">
        <v>41118</v>
      </c>
      <c r="F1309" s="192" t="s">
        <v>1533</v>
      </c>
      <c r="G1309" s="888" t="s">
        <v>1043</v>
      </c>
      <c r="H1309" s="7" t="s">
        <v>496</v>
      </c>
      <c r="I1309" s="252">
        <v>152</v>
      </c>
      <c r="J1309" s="252">
        <v>6991</v>
      </c>
      <c r="K1309" s="38">
        <f t="shared" si="80"/>
        <v>1062632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78"/>
        <v>7</v>
      </c>
      <c r="C1310" s="191">
        <f t="shared" si="79"/>
        <v>41118</v>
      </c>
      <c r="D1310" s="886" t="s">
        <v>1600</v>
      </c>
      <c r="E1310" s="886">
        <v>41118</v>
      </c>
      <c r="F1310" s="192" t="s">
        <v>1497</v>
      </c>
      <c r="G1310" s="888" t="s">
        <v>1043</v>
      </c>
      <c r="H1310" s="7" t="s">
        <v>496</v>
      </c>
      <c r="I1310" s="252">
        <v>74</v>
      </c>
      <c r="J1310" s="252">
        <v>7846</v>
      </c>
      <c r="K1310" s="38">
        <f t="shared" si="80"/>
        <v>580604</v>
      </c>
      <c r="L1310" s="194" t="s">
        <v>284</v>
      </c>
      <c r="M1310" s="194" t="s">
        <v>185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</row>
    <row r="1311" spans="1:30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78"/>
        <v>7</v>
      </c>
      <c r="C1311" s="191">
        <f t="shared" si="79"/>
        <v>41118</v>
      </c>
      <c r="D1311" s="886" t="s">
        <v>1600</v>
      </c>
      <c r="E1311" s="886">
        <v>41118</v>
      </c>
      <c r="F1311" s="192" t="s">
        <v>1501</v>
      </c>
      <c r="G1311" s="888" t="s">
        <v>1043</v>
      </c>
      <c r="H1311" s="7" t="s">
        <v>496</v>
      </c>
      <c r="I1311" s="252">
        <v>125</v>
      </c>
      <c r="J1311" s="252">
        <v>8390</v>
      </c>
      <c r="K1311" s="38">
        <f t="shared" si="80"/>
        <v>1048750</v>
      </c>
      <c r="L1311" s="194" t="s">
        <v>284</v>
      </c>
      <c r="M1311" s="194" t="s">
        <v>185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</row>
    <row r="1312" spans="1:30" ht="15.75" customHeight="1">
      <c r="A1312" s="204" t="str">
        <f>IF(B1312&lt;&gt;"",IF(AND(B1312&gt;=_TM1,B1312&lt;=_TM2,OR(TH!L1312="1111",TH!M1312="1111")),TH!D1312,""),"")</f>
        <v/>
      </c>
      <c r="B1312" s="36">
        <f t="shared" si="78"/>
        <v>7</v>
      </c>
      <c r="C1312" s="191">
        <f t="shared" si="79"/>
        <v>41118</v>
      </c>
      <c r="D1312" s="886" t="s">
        <v>1600</v>
      </c>
      <c r="E1312" s="886">
        <v>41118</v>
      </c>
      <c r="F1312" s="192" t="s">
        <v>1534</v>
      </c>
      <c r="G1312" s="888" t="s">
        <v>1043</v>
      </c>
      <c r="H1312" s="7" t="s">
        <v>496</v>
      </c>
      <c r="I1312" s="252">
        <v>40</v>
      </c>
      <c r="J1312" s="252">
        <v>9293</v>
      </c>
      <c r="K1312" s="38">
        <f t="shared" si="80"/>
        <v>371720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211"/>
      <c r="AB1312" s="211"/>
      <c r="AC1312" s="211"/>
      <c r="AD1312" s="211"/>
    </row>
    <row r="1313" spans="1:30" ht="15.75" customHeight="1">
      <c r="A1313" s="204" t="str">
        <f>IF(B1313&lt;&gt;"",IF(AND(B1313&gt;=_TM1,B1313&lt;=_TM2,OR(TH!L1313="1111",TH!M1313="1111")),TH!D1313,""),"")</f>
        <v/>
      </c>
      <c r="B1313" s="36">
        <f t="shared" si="78"/>
        <v>7</v>
      </c>
      <c r="C1313" s="191">
        <f t="shared" si="79"/>
        <v>41118</v>
      </c>
      <c r="D1313" s="886" t="s">
        <v>1600</v>
      </c>
      <c r="E1313" s="886">
        <v>41118</v>
      </c>
      <c r="F1313" s="192" t="s">
        <v>1527</v>
      </c>
      <c r="G1313" s="888" t="s">
        <v>1043</v>
      </c>
      <c r="H1313" s="7" t="s">
        <v>496</v>
      </c>
      <c r="I1313" s="252">
        <v>15</v>
      </c>
      <c r="J1313" s="252">
        <v>11131</v>
      </c>
      <c r="K1313" s="38">
        <f t="shared" si="80"/>
        <v>166965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211"/>
      <c r="AB1313" s="211"/>
      <c r="AC1313" s="211"/>
      <c r="AD1313" s="211"/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78"/>
        <v>7</v>
      </c>
      <c r="C1314" s="191">
        <f t="shared" si="79"/>
        <v>41118</v>
      </c>
      <c r="D1314" s="886" t="s">
        <v>1600</v>
      </c>
      <c r="E1314" s="886">
        <v>41118</v>
      </c>
      <c r="F1314" s="192" t="s">
        <v>1503</v>
      </c>
      <c r="G1314" s="888" t="s">
        <v>1043</v>
      </c>
      <c r="H1314" s="7" t="s">
        <v>496</v>
      </c>
      <c r="I1314" s="252">
        <v>75</v>
      </c>
      <c r="J1314" s="252">
        <v>8621</v>
      </c>
      <c r="K1314" s="38">
        <f t="shared" si="80"/>
        <v>646575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78"/>
        <v>7</v>
      </c>
      <c r="C1315" s="191">
        <f t="shared" si="79"/>
        <v>41118</v>
      </c>
      <c r="D1315" s="886" t="s">
        <v>1600</v>
      </c>
      <c r="E1315" s="886">
        <v>41118</v>
      </c>
      <c r="F1315" s="192" t="s">
        <v>1512</v>
      </c>
      <c r="G1315" s="888" t="s">
        <v>1043</v>
      </c>
      <c r="H1315" s="7" t="s">
        <v>496</v>
      </c>
      <c r="I1315" s="252">
        <v>102</v>
      </c>
      <c r="J1315" s="252">
        <v>9353</v>
      </c>
      <c r="K1315" s="38">
        <f t="shared" si="80"/>
        <v>954006</v>
      </c>
      <c r="L1315" s="194" t="s">
        <v>284</v>
      </c>
      <c r="M1315" s="194" t="s">
        <v>185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78"/>
        <v>7</v>
      </c>
      <c r="C1316" s="191">
        <f t="shared" si="79"/>
        <v>41118</v>
      </c>
      <c r="D1316" s="191" t="s">
        <v>1600</v>
      </c>
      <c r="E1316" s="191">
        <v>41118</v>
      </c>
      <c r="F1316" s="192" t="s">
        <v>555</v>
      </c>
      <c r="G1316" s="490" t="s">
        <v>1043</v>
      </c>
      <c r="H1316" s="7" t="s">
        <v>496</v>
      </c>
      <c r="I1316" s="252"/>
      <c r="J1316" s="252"/>
      <c r="K1316" s="38">
        <v>553366</v>
      </c>
      <c r="L1316" s="194" t="s">
        <v>284</v>
      </c>
      <c r="M1316" s="194" t="s">
        <v>495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906"/>
      <c r="AC1316" s="906">
        <f>AB1316-SUM(K1308:K1315)</f>
        <v>-5533657</v>
      </c>
      <c r="AD1316" s="198"/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78"/>
        <v>7</v>
      </c>
      <c r="C1317" s="191">
        <v>41120</v>
      </c>
      <c r="D1317" s="191" t="s">
        <v>364</v>
      </c>
      <c r="E1317" s="191">
        <v>41120</v>
      </c>
      <c r="F1317" s="192" t="s">
        <v>400</v>
      </c>
      <c r="G1317" s="490" t="s">
        <v>361</v>
      </c>
      <c r="H1317" s="7" t="s">
        <v>436</v>
      </c>
      <c r="I1317" s="252"/>
      <c r="J1317" s="252"/>
      <c r="K1317" s="38">
        <v>70000000</v>
      </c>
      <c r="L1317" s="616" t="s">
        <v>8</v>
      </c>
      <c r="M1317" s="194" t="s">
        <v>24</v>
      </c>
      <c r="N1317" s="52" t="str">
        <f>IF(AND('331-CT'!$E$7=TH!H1317,OR(L1317="331",M1317="331")),"331",IF(AND(OR(L1317="131",M1317="131"),H1317='131-CT'!$E$7),"131",""))</f>
        <v>331</v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>x</v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customHeight="1">
      <c r="A1318" s="204" t="str">
        <f>IF(B1318&lt;&gt;"",IF(AND(B1318&gt;=_TM1,B1318&lt;=_TM2,OR(TH!L1318="1111",TH!M1318="1111")),TH!D1318,""),"")</f>
        <v/>
      </c>
      <c r="B1318" s="36">
        <f t="shared" si="78"/>
        <v>7</v>
      </c>
      <c r="C1318" s="191">
        <v>41120</v>
      </c>
      <c r="D1318" s="191" t="s">
        <v>364</v>
      </c>
      <c r="E1318" s="191">
        <v>41120</v>
      </c>
      <c r="F1318" s="192" t="s">
        <v>366</v>
      </c>
      <c r="G1318" s="490" t="s">
        <v>361</v>
      </c>
      <c r="H1318" s="193"/>
      <c r="I1318" s="252"/>
      <c r="J1318" s="252"/>
      <c r="K1318" s="38">
        <v>35000</v>
      </c>
      <c r="L1318" s="194" t="s">
        <v>84</v>
      </c>
      <c r="M1318" s="194" t="s">
        <v>24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>x</v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78"/>
        <v>7</v>
      </c>
      <c r="C1319" s="191">
        <v>41120</v>
      </c>
      <c r="D1319" s="191" t="s">
        <v>364</v>
      </c>
      <c r="E1319" s="191">
        <v>41120</v>
      </c>
      <c r="F1319" s="192" t="s">
        <v>730</v>
      </c>
      <c r="G1319" s="490" t="s">
        <v>361</v>
      </c>
      <c r="H1319" s="193"/>
      <c r="I1319" s="252"/>
      <c r="J1319" s="252"/>
      <c r="K1319" s="38">
        <v>10000</v>
      </c>
      <c r="L1319" s="194" t="s">
        <v>84</v>
      </c>
      <c r="M1319" s="194" t="s">
        <v>24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>x</v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/>
      <c r="AB1319" s="198"/>
      <c r="AC1319" s="198"/>
      <c r="AD1319" s="198"/>
    </row>
    <row r="1320" spans="1:30" ht="15.75" customHeight="1">
      <c r="A1320" s="204" t="str">
        <f>IF(B1320&lt;&gt;"",IF(AND(B1320&gt;=_TM1,B1320&lt;=_TM2,OR(TH!L1320="1111",TH!M1320="1111")),TH!D1320,""),"")</f>
        <v/>
      </c>
      <c r="B1320" s="36">
        <f t="shared" si="78"/>
        <v>7</v>
      </c>
      <c r="C1320" s="191">
        <v>41120</v>
      </c>
      <c r="D1320" s="191" t="s">
        <v>475</v>
      </c>
      <c r="E1320" s="191">
        <v>41120</v>
      </c>
      <c r="F1320" s="192" t="s">
        <v>837</v>
      </c>
      <c r="G1320" s="490" t="s">
        <v>838</v>
      </c>
      <c r="H1320" s="193" t="s">
        <v>825</v>
      </c>
      <c r="I1320" s="252">
        <v>630</v>
      </c>
      <c r="J1320" s="252">
        <v>10708</v>
      </c>
      <c r="K1320" s="38">
        <v>6746040</v>
      </c>
      <c r="L1320" s="194" t="s">
        <v>169</v>
      </c>
      <c r="M1320" s="616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B1320" s="606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78"/>
        <v>7</v>
      </c>
      <c r="C1321" s="191">
        <v>41120</v>
      </c>
      <c r="D1321" s="191" t="s">
        <v>475</v>
      </c>
      <c r="E1321" s="191">
        <v>41120</v>
      </c>
      <c r="F1321" s="192" t="s">
        <v>829</v>
      </c>
      <c r="G1321" s="490" t="s">
        <v>838</v>
      </c>
      <c r="H1321" s="193" t="s">
        <v>825</v>
      </c>
      <c r="I1321" s="252"/>
      <c r="J1321" s="252"/>
      <c r="K1321" s="38">
        <v>674604</v>
      </c>
      <c r="L1321" s="194" t="s">
        <v>9</v>
      </c>
      <c r="M1321" s="616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>
        <v>7</v>
      </c>
      <c r="AB1321" s="198"/>
      <c r="AC1321" s="198"/>
      <c r="AD1321" s="198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78"/>
        <v>7</v>
      </c>
      <c r="C1322" s="191">
        <v>41120</v>
      </c>
      <c r="D1322" s="191" t="s">
        <v>450</v>
      </c>
      <c r="E1322" s="191">
        <v>41120</v>
      </c>
      <c r="F1322" s="192" t="s">
        <v>400</v>
      </c>
      <c r="G1322" s="490" t="s">
        <v>838</v>
      </c>
      <c r="H1322" s="193" t="s">
        <v>825</v>
      </c>
      <c r="I1322" s="252"/>
      <c r="J1322" s="252"/>
      <c r="K1322" s="38">
        <v>7420644</v>
      </c>
      <c r="L1322" s="616" t="s">
        <v>8</v>
      </c>
      <c r="M1322" s="616" t="s">
        <v>48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ht="15.75" customHeight="1">
      <c r="A1323" s="204" t="str">
        <f>IF(B1323&lt;&gt;"",IF(AND(B1323&gt;=_TM1,B1323&lt;=_TM2,OR(TH!L1323="1111",TH!M1323="1111")),TH!D1323,""),"")</f>
        <v/>
      </c>
      <c r="B1323" s="36">
        <f t="shared" si="78"/>
        <v>7</v>
      </c>
      <c r="C1323" s="191">
        <v>41120</v>
      </c>
      <c r="D1323" s="191" t="s">
        <v>476</v>
      </c>
      <c r="E1323" s="191">
        <v>41120</v>
      </c>
      <c r="F1323" s="192" t="s">
        <v>1441</v>
      </c>
      <c r="G1323" s="490" t="s">
        <v>839</v>
      </c>
      <c r="H1323" s="7" t="s">
        <v>436</v>
      </c>
      <c r="I1323" s="252">
        <v>110</v>
      </c>
      <c r="J1323" s="252">
        <v>9324</v>
      </c>
      <c r="K1323" s="38">
        <v>1025640</v>
      </c>
      <c r="L1323" s="194" t="s">
        <v>169</v>
      </c>
      <c r="M1323" s="616" t="s">
        <v>8</v>
      </c>
      <c r="N1323" s="52" t="str">
        <f>IF(AND('331-CT'!$E$7=TH!H1323,OR(L1323="331",M1323="331")),"331",IF(AND(OR(L1323="131",M1323="131"),H1323='131-CT'!$E$7),"131",""))</f>
        <v>331</v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B1323" s="606"/>
    </row>
    <row r="1324" spans="1:30" ht="15.75" customHeight="1">
      <c r="A1324" s="204" t="str">
        <f>IF(B1324&lt;&gt;"",IF(AND(B1324&gt;=_TM1,B1324&lt;=_TM2,OR(TH!L1324="1111",TH!M1324="1111")),TH!D1324,""),"")</f>
        <v/>
      </c>
      <c r="B1324" s="36">
        <f t="shared" si="78"/>
        <v>7</v>
      </c>
      <c r="C1324" s="191">
        <v>41120</v>
      </c>
      <c r="D1324" s="191" t="s">
        <v>476</v>
      </c>
      <c r="E1324" s="191">
        <v>41120</v>
      </c>
      <c r="F1324" s="192" t="s">
        <v>566</v>
      </c>
      <c r="G1324" s="490" t="s">
        <v>839</v>
      </c>
      <c r="H1324" s="7" t="s">
        <v>436</v>
      </c>
      <c r="I1324" s="252"/>
      <c r="J1324" s="252"/>
      <c r="K1324" s="38">
        <v>102564</v>
      </c>
      <c r="L1324" s="194" t="s">
        <v>9</v>
      </c>
      <c r="M1324" s="616" t="s">
        <v>8</v>
      </c>
      <c r="N1324" s="52" t="str">
        <f>IF(AND('331-CT'!$E$7=TH!H1324,OR(L1324="331",M1324="331")),"331",IF(AND(OR(L1324="131",M1324="131"),H1324='131-CT'!$E$7),"131",""))</f>
        <v>331</v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198">
        <v>7</v>
      </c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78"/>
        <v>7</v>
      </c>
      <c r="C1325" s="740">
        <f t="shared" ref="C1325:C1337" si="81">E1325</f>
        <v>41121</v>
      </c>
      <c r="D1325" s="740" t="s">
        <v>367</v>
      </c>
      <c r="E1325" s="853">
        <v>41121</v>
      </c>
      <c r="F1325" s="741" t="s">
        <v>1584</v>
      </c>
      <c r="G1325" s="742"/>
      <c r="H1325" s="629"/>
      <c r="I1325" s="487"/>
      <c r="J1325" s="487"/>
      <c r="K1325" s="743">
        <v>9325000</v>
      </c>
      <c r="L1325" s="744" t="s">
        <v>84</v>
      </c>
      <c r="M1325" s="744" t="s">
        <v>287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606"/>
      <c r="AB1325" s="606"/>
      <c r="AC1325" s="606"/>
      <c r="AD1325" s="606"/>
    </row>
    <row r="1326" spans="1:30" ht="15.75" customHeight="1">
      <c r="A1326" s="204" t="str">
        <f>IF(B1326&lt;&gt;"",IF(AND(B1326&gt;=_TM1,B1326&lt;=_TM2,OR(TH!L1326="1111",TH!M1326="1111")),TH!D1326,""),"")</f>
        <v/>
      </c>
      <c r="B1326" s="36">
        <f t="shared" si="78"/>
        <v>7</v>
      </c>
      <c r="C1326" s="740">
        <f t="shared" si="81"/>
        <v>41121</v>
      </c>
      <c r="D1326" s="740" t="s">
        <v>367</v>
      </c>
      <c r="E1326" s="853">
        <v>41121</v>
      </c>
      <c r="F1326" s="741" t="s">
        <v>511</v>
      </c>
      <c r="G1326" s="742"/>
      <c r="H1326" s="629"/>
      <c r="I1326" s="487"/>
      <c r="J1326" s="487"/>
      <c r="K1326" s="743">
        <v>13450000</v>
      </c>
      <c r="L1326" s="744" t="s">
        <v>175</v>
      </c>
      <c r="M1326" s="744" t="s">
        <v>287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606"/>
      <c r="AB1326" s="606"/>
      <c r="AC1326" s="606"/>
      <c r="AD1326" s="606"/>
    </row>
    <row r="1327" spans="1:30" ht="15.75" customHeight="1">
      <c r="A1327" s="204" t="str">
        <f>IF(B1327&lt;&gt;"",IF(AND(B1327&gt;=_TM1,B1327&lt;=_TM2,OR(TH!L1327="1111",TH!M1327="1111")),TH!D1327,""),"")</f>
        <v/>
      </c>
      <c r="B1327" s="36">
        <f t="shared" si="78"/>
        <v>7</v>
      </c>
      <c r="C1327" s="740">
        <f t="shared" si="81"/>
        <v>41121</v>
      </c>
      <c r="D1327" s="740" t="s">
        <v>451</v>
      </c>
      <c r="E1327" s="853">
        <v>41121</v>
      </c>
      <c r="F1327" s="741" t="str">
        <f>"Thanh toán tiền lương tháng "&amp;MONTH(E1327)&amp;"/"&amp;YEAR(E1327)</f>
        <v>Thanh toán tiền lương tháng 7/2012</v>
      </c>
      <c r="G1327" s="742"/>
      <c r="H1327" s="45" t="s">
        <v>684</v>
      </c>
      <c r="I1327" s="487"/>
      <c r="J1327" s="487"/>
      <c r="K1327" s="743">
        <f>K1325+K1326</f>
        <v>22775000</v>
      </c>
      <c r="L1327" s="744" t="s">
        <v>287</v>
      </c>
      <c r="M1327" s="744" t="s">
        <v>48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606"/>
      <c r="AB1327" s="606"/>
      <c r="AC1327" s="606"/>
      <c r="AD1327" s="606"/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78"/>
        <v>7</v>
      </c>
      <c r="C1328" s="191">
        <f t="shared" si="81"/>
        <v>41121</v>
      </c>
      <c r="D1328" s="191" t="s">
        <v>1601</v>
      </c>
      <c r="E1328" s="191">
        <v>41121</v>
      </c>
      <c r="F1328" s="189" t="s">
        <v>1121</v>
      </c>
      <c r="G1328" s="490" t="s">
        <v>1044</v>
      </c>
      <c r="H1328" s="193" t="s">
        <v>958</v>
      </c>
      <c r="I1328" s="252">
        <v>890</v>
      </c>
      <c r="J1328" s="252">
        <v>8000</v>
      </c>
      <c r="K1328" s="38">
        <f>ROUND(I1328*J1328,0)</f>
        <v>7120000</v>
      </c>
      <c r="L1328" s="194" t="s">
        <v>284</v>
      </c>
      <c r="M1328" s="194" t="s">
        <v>185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78"/>
        <v>7</v>
      </c>
      <c r="C1329" s="191">
        <f t="shared" si="81"/>
        <v>41121</v>
      </c>
      <c r="D1329" s="191" t="s">
        <v>1601</v>
      </c>
      <c r="E1329" s="191">
        <v>41121</v>
      </c>
      <c r="F1329" s="192" t="s">
        <v>555</v>
      </c>
      <c r="G1329" s="490" t="s">
        <v>1044</v>
      </c>
      <c r="H1329" s="193" t="s">
        <v>958</v>
      </c>
      <c r="I1329" s="252"/>
      <c r="J1329" s="252"/>
      <c r="K1329" s="38">
        <v>712000</v>
      </c>
      <c r="L1329" s="194" t="s">
        <v>284</v>
      </c>
      <c r="M1329" s="194" t="s">
        <v>495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198"/>
      <c r="AB1329" s="198"/>
      <c r="AC1329" s="198"/>
      <c r="AD1329" s="198"/>
    </row>
    <row r="1330" spans="1:30" ht="15.75" customHeight="1">
      <c r="A1330" s="204" t="str">
        <f>IF(B1330&lt;&gt;"",IF(AND(B1330&gt;=_TM1,B1330&lt;=_TM2,OR(TH!L1330="1111",TH!M1330="1111")),TH!D1330,""),"")</f>
        <v/>
      </c>
      <c r="B1330" s="36">
        <f t="shared" si="78"/>
        <v>7</v>
      </c>
      <c r="C1330" s="191">
        <f t="shared" si="81"/>
        <v>41121</v>
      </c>
      <c r="D1330" s="191" t="s">
        <v>1642</v>
      </c>
      <c r="E1330" s="191">
        <v>41121</v>
      </c>
      <c r="F1330" s="192" t="s">
        <v>365</v>
      </c>
      <c r="G1330" s="490" t="s">
        <v>1044</v>
      </c>
      <c r="H1330" s="193" t="s">
        <v>958</v>
      </c>
      <c r="I1330" s="252"/>
      <c r="J1330" s="252"/>
      <c r="K1330" s="38">
        <v>7832000</v>
      </c>
      <c r="L1330" s="194" t="s">
        <v>48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</row>
    <row r="1331" spans="1:30" ht="15.75" customHeight="1">
      <c r="A1331" s="204" t="str">
        <f>IF(B1331&lt;&gt;"",IF(AND(B1331&gt;=_TM1,B1331&lt;=_TM2,OR(TH!L1331="1111",TH!M1331="1111")),TH!D1331,""),"")</f>
        <v/>
      </c>
      <c r="B1331" s="36">
        <f t="shared" si="78"/>
        <v>8</v>
      </c>
      <c r="C1331" s="191">
        <f t="shared" si="81"/>
        <v>41122</v>
      </c>
      <c r="D1331" s="191" t="s">
        <v>1602</v>
      </c>
      <c r="E1331" s="191">
        <v>41122</v>
      </c>
      <c r="F1331" s="189" t="s">
        <v>1069</v>
      </c>
      <c r="G1331" s="490" t="s">
        <v>1045</v>
      </c>
      <c r="H1331" s="193" t="s">
        <v>948</v>
      </c>
      <c r="I1331" s="252">
        <v>75</v>
      </c>
      <c r="J1331" s="252">
        <v>6585</v>
      </c>
      <c r="K1331" s="38">
        <f>ROUND(I1331*J1331,0)</f>
        <v>493875</v>
      </c>
      <c r="L1331" s="194" t="s">
        <v>284</v>
      </c>
      <c r="M1331" s="194" t="s">
        <v>185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211"/>
      <c r="AB1331" s="211"/>
      <c r="AC1331" s="211"/>
      <c r="AD1331" s="21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78"/>
        <v>8</v>
      </c>
      <c r="C1332" s="191">
        <f t="shared" si="81"/>
        <v>41122</v>
      </c>
      <c r="D1332" s="191" t="s">
        <v>1602</v>
      </c>
      <c r="E1332" s="191">
        <v>41122</v>
      </c>
      <c r="F1332" s="192" t="s">
        <v>1070</v>
      </c>
      <c r="G1332" s="490" t="s">
        <v>1045</v>
      </c>
      <c r="H1332" s="193" t="s">
        <v>948</v>
      </c>
      <c r="I1332" s="252">
        <v>92</v>
      </c>
      <c r="J1332" s="252">
        <v>6700</v>
      </c>
      <c r="K1332" s="38">
        <f>ROUND(I1332*J1332,0)</f>
        <v>616400</v>
      </c>
      <c r="L1332" s="194" t="s">
        <v>284</v>
      </c>
      <c r="M1332" s="194" t="s">
        <v>185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78"/>
        <v>8</v>
      </c>
      <c r="C1333" s="191">
        <f t="shared" si="81"/>
        <v>41122</v>
      </c>
      <c r="D1333" s="191" t="s">
        <v>1602</v>
      </c>
      <c r="E1333" s="191">
        <v>41122</v>
      </c>
      <c r="F1333" s="192" t="s">
        <v>555</v>
      </c>
      <c r="G1333" s="490" t="s">
        <v>1045</v>
      </c>
      <c r="H1333" s="193" t="s">
        <v>948</v>
      </c>
      <c r="I1333" s="252"/>
      <c r="J1333" s="252"/>
      <c r="K1333" s="38">
        <v>111028</v>
      </c>
      <c r="L1333" s="194" t="s">
        <v>284</v>
      </c>
      <c r="M1333" s="194" t="s">
        <v>495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/>
      <c r="AB1333" s="198"/>
      <c r="AC1333" s="198"/>
      <c r="AD1333" s="198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78"/>
        <v>8</v>
      </c>
      <c r="C1334" s="191">
        <f t="shared" si="81"/>
        <v>41122</v>
      </c>
      <c r="D1334" s="191" t="s">
        <v>1643</v>
      </c>
      <c r="E1334" s="191">
        <v>41122</v>
      </c>
      <c r="F1334" s="192" t="s">
        <v>365</v>
      </c>
      <c r="G1334" s="490" t="s">
        <v>1045</v>
      </c>
      <c r="H1334" s="193" t="s">
        <v>948</v>
      </c>
      <c r="I1334" s="252"/>
      <c r="J1334" s="252"/>
      <c r="K1334" s="38">
        <v>1221303</v>
      </c>
      <c r="L1334" s="194" t="s">
        <v>48</v>
      </c>
      <c r="M1334" s="194" t="s">
        <v>284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198"/>
      <c r="AB1334" s="198"/>
      <c r="AC1334" s="198"/>
      <c r="AD1334" s="198"/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78"/>
        <v>8</v>
      </c>
      <c r="C1335" s="191">
        <f t="shared" si="81"/>
        <v>41124</v>
      </c>
      <c r="D1335" s="191" t="s">
        <v>1603</v>
      </c>
      <c r="E1335" s="191">
        <v>41124</v>
      </c>
      <c r="F1335" s="192" t="s">
        <v>1155</v>
      </c>
      <c r="G1335" s="490" t="s">
        <v>1046</v>
      </c>
      <c r="H1335" s="193" t="s">
        <v>939</v>
      </c>
      <c r="I1335" s="252">
        <v>1000</v>
      </c>
      <c r="J1335" s="252">
        <v>17500</v>
      </c>
      <c r="K1335" s="38">
        <f>ROUND(I1335*J1335,0)</f>
        <v>17500000</v>
      </c>
      <c r="L1335" s="194" t="s">
        <v>284</v>
      </c>
      <c r="M1335" s="194" t="s">
        <v>185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78"/>
        <v>8</v>
      </c>
      <c r="C1336" s="191">
        <f t="shared" si="81"/>
        <v>41124</v>
      </c>
      <c r="D1336" s="191" t="s">
        <v>1603</v>
      </c>
      <c r="E1336" s="191">
        <v>41124</v>
      </c>
      <c r="F1336" s="192" t="s">
        <v>1156</v>
      </c>
      <c r="G1336" s="490" t="s">
        <v>1046</v>
      </c>
      <c r="H1336" s="193" t="s">
        <v>939</v>
      </c>
      <c r="I1336" s="252"/>
      <c r="J1336" s="252"/>
      <c r="K1336" s="38">
        <v>1750000</v>
      </c>
      <c r="L1336" s="194" t="s">
        <v>284</v>
      </c>
      <c r="M1336" s="194" t="s">
        <v>495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198"/>
      <c r="AB1336" s="198"/>
      <c r="AC1336" s="198"/>
      <c r="AD1336" s="198"/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78"/>
        <v>8</v>
      </c>
      <c r="C1337" s="191">
        <f t="shared" si="81"/>
        <v>41124</v>
      </c>
      <c r="D1337" s="191" t="s">
        <v>1644</v>
      </c>
      <c r="E1337" s="191">
        <v>41124</v>
      </c>
      <c r="F1337" s="192" t="s">
        <v>365</v>
      </c>
      <c r="G1337" s="490" t="s">
        <v>1046</v>
      </c>
      <c r="H1337" s="193" t="s">
        <v>939</v>
      </c>
      <c r="I1337" s="252"/>
      <c r="J1337" s="252"/>
      <c r="K1337" s="38">
        <v>19250000</v>
      </c>
      <c r="L1337" s="194" t="s">
        <v>48</v>
      </c>
      <c r="M1337" s="194" t="s">
        <v>284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198"/>
      <c r="AB1337" s="198"/>
      <c r="AC1337" s="198"/>
      <c r="AD1337" s="198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78"/>
        <v>8</v>
      </c>
      <c r="C1338" s="191">
        <v>41125</v>
      </c>
      <c r="D1338" s="191" t="s">
        <v>477</v>
      </c>
      <c r="E1338" s="191">
        <v>41125</v>
      </c>
      <c r="F1338" s="192" t="s">
        <v>1462</v>
      </c>
      <c r="G1338" s="490" t="s">
        <v>840</v>
      </c>
      <c r="H1338" s="7" t="s">
        <v>436</v>
      </c>
      <c r="I1338" s="252">
        <v>960</v>
      </c>
      <c r="J1338" s="252">
        <v>15288</v>
      </c>
      <c r="K1338" s="38">
        <v>14676480</v>
      </c>
      <c r="L1338" s="194" t="s">
        <v>169</v>
      </c>
      <c r="M1338" s="616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6"/>
      <c r="AC1338" s="198"/>
      <c r="AD1338" s="198"/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78"/>
        <v>8</v>
      </c>
      <c r="C1339" s="191">
        <v>41125</v>
      </c>
      <c r="D1339" s="191" t="s">
        <v>477</v>
      </c>
      <c r="E1339" s="191">
        <v>41125</v>
      </c>
      <c r="F1339" s="192" t="s">
        <v>1463</v>
      </c>
      <c r="G1339" s="490" t="s">
        <v>840</v>
      </c>
      <c r="H1339" s="7" t="s">
        <v>436</v>
      </c>
      <c r="I1339" s="252">
        <v>200</v>
      </c>
      <c r="J1339" s="252">
        <v>18402</v>
      </c>
      <c r="K1339" s="38">
        <v>3680400</v>
      </c>
      <c r="L1339" s="194" t="s">
        <v>169</v>
      </c>
      <c r="M1339" s="616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6"/>
      <c r="AC1339" s="198"/>
      <c r="AD1339" s="198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78"/>
        <v>8</v>
      </c>
      <c r="C1340" s="191">
        <v>41125</v>
      </c>
      <c r="D1340" s="191" t="s">
        <v>477</v>
      </c>
      <c r="E1340" s="191">
        <v>41125</v>
      </c>
      <c r="F1340" s="192" t="s">
        <v>1464</v>
      </c>
      <c r="G1340" s="490" t="s">
        <v>840</v>
      </c>
      <c r="H1340" s="7" t="s">
        <v>436</v>
      </c>
      <c r="I1340" s="252">
        <v>220</v>
      </c>
      <c r="J1340" s="252">
        <v>17716</v>
      </c>
      <c r="K1340" s="38">
        <v>3897520</v>
      </c>
      <c r="L1340" s="194" t="s">
        <v>169</v>
      </c>
      <c r="M1340" s="616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/>
      <c r="AB1340" s="606"/>
      <c r="AC1340" s="198"/>
      <c r="AD1340" s="198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78"/>
        <v>8</v>
      </c>
      <c r="C1341" s="191">
        <v>41125</v>
      </c>
      <c r="D1341" s="191" t="s">
        <v>477</v>
      </c>
      <c r="E1341" s="191">
        <v>41125</v>
      </c>
      <c r="F1341" s="192" t="s">
        <v>1465</v>
      </c>
      <c r="G1341" s="490" t="s">
        <v>840</v>
      </c>
      <c r="H1341" s="7" t="s">
        <v>436</v>
      </c>
      <c r="I1341" s="252">
        <v>360</v>
      </c>
      <c r="J1341" s="252">
        <v>16278</v>
      </c>
      <c r="K1341" s="38">
        <v>5860080</v>
      </c>
      <c r="L1341" s="194" t="s">
        <v>169</v>
      </c>
      <c r="M1341" s="616" t="s">
        <v>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198"/>
      <c r="AB1341" s="606"/>
      <c r="AC1341" s="198"/>
      <c r="AD1341" s="198"/>
    </row>
    <row r="1342" spans="1:30" ht="15.75" customHeight="1">
      <c r="A1342" s="204" t="str">
        <f>IF(B1342&lt;&gt;"",IF(AND(B1342&gt;=_TM1,B1342&lt;=_TM2,OR(TH!L1342="1111",TH!M1342="1111")),TH!D1342,""),"")</f>
        <v/>
      </c>
      <c r="B1342" s="36">
        <f t="shared" si="78"/>
        <v>8</v>
      </c>
      <c r="C1342" s="191">
        <v>41125</v>
      </c>
      <c r="D1342" s="191" t="s">
        <v>477</v>
      </c>
      <c r="E1342" s="191">
        <v>41125</v>
      </c>
      <c r="F1342" s="192" t="s">
        <v>1288</v>
      </c>
      <c r="G1342" s="490" t="s">
        <v>840</v>
      </c>
      <c r="H1342" s="7" t="s">
        <v>436</v>
      </c>
      <c r="I1342" s="252">
        <v>250</v>
      </c>
      <c r="J1342" s="252">
        <v>11706</v>
      </c>
      <c r="K1342" s="38">
        <v>2926500</v>
      </c>
      <c r="L1342" s="194" t="s">
        <v>169</v>
      </c>
      <c r="M1342" s="616" t="s">
        <v>8</v>
      </c>
      <c r="N1342" s="52" t="str">
        <f>IF(AND('331-CT'!$E$7=TH!H1342,OR(L1342="331",M1342="331")),"331",IF(AND(OR(L1342="131",M1342="131"),H1342='131-CT'!$E$7),"131",""))</f>
        <v>331</v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B1342" s="606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78"/>
        <v>8</v>
      </c>
      <c r="C1343" s="191">
        <v>41125</v>
      </c>
      <c r="D1343" s="191" t="s">
        <v>477</v>
      </c>
      <c r="E1343" s="191">
        <v>41125</v>
      </c>
      <c r="F1343" s="192" t="s">
        <v>566</v>
      </c>
      <c r="G1343" s="490" t="s">
        <v>840</v>
      </c>
      <c r="H1343" s="7" t="s">
        <v>436</v>
      </c>
      <c r="I1343" s="252"/>
      <c r="J1343" s="252"/>
      <c r="K1343" s="38">
        <v>3104098</v>
      </c>
      <c r="L1343" s="194" t="s">
        <v>9</v>
      </c>
      <c r="M1343" s="616" t="s">
        <v>8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>
        <v>8</v>
      </c>
      <c r="AB1343" s="198"/>
      <c r="AC1343" s="198"/>
      <c r="AD1343" s="198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78"/>
        <v>8</v>
      </c>
      <c r="C1344" s="191">
        <f t="shared" ref="C1344:C1350" si="82">E1344</f>
        <v>41125</v>
      </c>
      <c r="D1344" s="191" t="s">
        <v>1604</v>
      </c>
      <c r="E1344" s="191">
        <v>41125</v>
      </c>
      <c r="F1344" s="192" t="s">
        <v>1155</v>
      </c>
      <c r="G1344" s="490" t="s">
        <v>1047</v>
      </c>
      <c r="H1344" s="193" t="s">
        <v>939</v>
      </c>
      <c r="I1344" s="252">
        <v>520</v>
      </c>
      <c r="J1344" s="252">
        <v>17500</v>
      </c>
      <c r="K1344" s="38">
        <f>ROUND(I1344*J1344,0)</f>
        <v>9100000</v>
      </c>
      <c r="L1344" s="194" t="s">
        <v>284</v>
      </c>
      <c r="M1344" s="194" t="s">
        <v>185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</row>
    <row r="1345" spans="1:30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78"/>
        <v>8</v>
      </c>
      <c r="C1345" s="191">
        <f t="shared" si="82"/>
        <v>41125</v>
      </c>
      <c r="D1345" s="191" t="s">
        <v>1604</v>
      </c>
      <c r="E1345" s="191">
        <v>41125</v>
      </c>
      <c r="F1345" s="192" t="s">
        <v>1156</v>
      </c>
      <c r="G1345" s="490" t="s">
        <v>1047</v>
      </c>
      <c r="H1345" s="193" t="s">
        <v>939</v>
      </c>
      <c r="I1345" s="252"/>
      <c r="J1345" s="252"/>
      <c r="K1345" s="38">
        <v>910000</v>
      </c>
      <c r="L1345" s="194" t="s">
        <v>284</v>
      </c>
      <c r="M1345" s="194" t="s">
        <v>495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198"/>
      <c r="AC1345" s="198"/>
      <c r="AD1345" s="198"/>
    </row>
    <row r="1346" spans="1:30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78"/>
        <v>8</v>
      </c>
      <c r="C1346" s="191">
        <f t="shared" si="82"/>
        <v>41125</v>
      </c>
      <c r="D1346" s="191" t="s">
        <v>1645</v>
      </c>
      <c r="E1346" s="191">
        <v>41125</v>
      </c>
      <c r="F1346" s="192" t="s">
        <v>365</v>
      </c>
      <c r="G1346" s="490" t="s">
        <v>1047</v>
      </c>
      <c r="H1346" s="193" t="s">
        <v>939</v>
      </c>
      <c r="I1346" s="252"/>
      <c r="J1346" s="252"/>
      <c r="K1346" s="38">
        <v>10010000</v>
      </c>
      <c r="L1346" s="194" t="s">
        <v>48</v>
      </c>
      <c r="M1346" s="194" t="s">
        <v>284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/>
      <c r="AB1346" s="198"/>
      <c r="AC1346" s="198"/>
      <c r="AD1346" s="198"/>
    </row>
    <row r="1347" spans="1:30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78"/>
        <v>8</v>
      </c>
      <c r="C1347" s="191">
        <f t="shared" si="82"/>
        <v>41125</v>
      </c>
      <c r="D1347" s="191" t="s">
        <v>1605</v>
      </c>
      <c r="E1347" s="191">
        <v>41125</v>
      </c>
      <c r="F1347" s="192" t="s">
        <v>1152</v>
      </c>
      <c r="G1347" s="490" t="s">
        <v>1048</v>
      </c>
      <c r="H1347" s="193" t="s">
        <v>832</v>
      </c>
      <c r="I1347" s="252">
        <v>993</v>
      </c>
      <c r="J1347" s="252">
        <v>5100</v>
      </c>
      <c r="K1347" s="38">
        <f>ROUND(I1347*J1347,0)</f>
        <v>5064300</v>
      </c>
      <c r="L1347" s="194" t="s">
        <v>284</v>
      </c>
      <c r="M1347" s="194" t="s">
        <v>185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</row>
    <row r="1348" spans="1:30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78"/>
        <v>8</v>
      </c>
      <c r="C1348" s="191">
        <f t="shared" si="82"/>
        <v>41125</v>
      </c>
      <c r="D1348" s="191" t="s">
        <v>1605</v>
      </c>
      <c r="E1348" s="191">
        <v>41125</v>
      </c>
      <c r="F1348" s="192" t="s">
        <v>1153</v>
      </c>
      <c r="G1348" s="490" t="s">
        <v>1048</v>
      </c>
      <c r="H1348" s="193" t="s">
        <v>832</v>
      </c>
      <c r="I1348" s="252">
        <v>1030</v>
      </c>
      <c r="J1348" s="252">
        <v>6150</v>
      </c>
      <c r="K1348" s="38">
        <f>ROUND(I1348*J1348,0)</f>
        <v>6334500</v>
      </c>
      <c r="L1348" s="194" t="s">
        <v>284</v>
      </c>
      <c r="M1348" s="194" t="s">
        <v>185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</row>
    <row r="1349" spans="1:30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78"/>
        <v>8</v>
      </c>
      <c r="C1349" s="191">
        <f t="shared" si="82"/>
        <v>41125</v>
      </c>
      <c r="D1349" s="191" t="s">
        <v>1605</v>
      </c>
      <c r="E1349" s="191">
        <v>41125</v>
      </c>
      <c r="F1349" s="192" t="s">
        <v>1154</v>
      </c>
      <c r="G1349" s="490" t="s">
        <v>1048</v>
      </c>
      <c r="H1349" s="193" t="s">
        <v>832</v>
      </c>
      <c r="I1349" s="252">
        <v>1010</v>
      </c>
      <c r="J1349" s="252">
        <v>7850</v>
      </c>
      <c r="K1349" s="38">
        <f>ROUND(I1349*J1349,0)</f>
        <v>7928500</v>
      </c>
      <c r="L1349" s="194" t="s">
        <v>284</v>
      </c>
      <c r="M1349" s="194" t="s">
        <v>185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</row>
    <row r="1350" spans="1:30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78"/>
        <v>8</v>
      </c>
      <c r="C1350" s="191">
        <f t="shared" si="82"/>
        <v>41125</v>
      </c>
      <c r="D1350" s="191" t="s">
        <v>1605</v>
      </c>
      <c r="E1350" s="191">
        <v>41125</v>
      </c>
      <c r="F1350" s="192" t="s">
        <v>555</v>
      </c>
      <c r="G1350" s="490" t="s">
        <v>1048</v>
      </c>
      <c r="H1350" s="193" t="s">
        <v>832</v>
      </c>
      <c r="I1350" s="252"/>
      <c r="J1350" s="252"/>
      <c r="K1350" s="38">
        <v>1932730</v>
      </c>
      <c r="L1350" s="194" t="s">
        <v>284</v>
      </c>
      <c r="M1350" s="194" t="s">
        <v>495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78"/>
        <v>8</v>
      </c>
      <c r="C1351" s="191">
        <v>41128</v>
      </c>
      <c r="D1351" s="191" t="s">
        <v>452</v>
      </c>
      <c r="E1351" s="191">
        <v>41128</v>
      </c>
      <c r="F1351" s="192" t="s">
        <v>396</v>
      </c>
      <c r="G1351" s="490" t="s">
        <v>361</v>
      </c>
      <c r="H1351" s="210" t="s">
        <v>684</v>
      </c>
      <c r="I1351" s="252"/>
      <c r="J1351" s="252"/>
      <c r="K1351" s="38">
        <v>21000000</v>
      </c>
      <c r="L1351" s="194" t="s">
        <v>24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>x</v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198"/>
      <c r="AB1351" s="198"/>
      <c r="AC1351" s="198"/>
      <c r="AD1351" s="198"/>
    </row>
    <row r="1352" spans="1:30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78"/>
        <v>8</v>
      </c>
      <c r="C1352" s="191">
        <v>41128</v>
      </c>
      <c r="D1352" s="191" t="s">
        <v>363</v>
      </c>
      <c r="E1352" s="191">
        <v>41128</v>
      </c>
      <c r="F1352" s="192" t="s">
        <v>365</v>
      </c>
      <c r="G1352" s="490" t="s">
        <v>361</v>
      </c>
      <c r="H1352" s="7" t="s">
        <v>496</v>
      </c>
      <c r="I1352" s="252"/>
      <c r="J1352" s="252"/>
      <c r="K1352" s="38">
        <v>22260115</v>
      </c>
      <c r="L1352" s="194" t="s">
        <v>24</v>
      </c>
      <c r="M1352" s="194" t="s">
        <v>284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>x</v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/>
      <c r="AB1352" s="198"/>
      <c r="AC1352" s="198"/>
      <c r="AD1352" s="198"/>
    </row>
    <row r="1353" spans="1:30" ht="15.75" customHeight="1">
      <c r="A1353" s="204" t="str">
        <f>IF(B1353&lt;&gt;"",IF(AND(B1353&gt;=_TM1,B1353&lt;=_TM2,OR(TH!L1353="1111",TH!M1353="1111")),TH!D1353,""),"")</f>
        <v/>
      </c>
      <c r="B1353" s="36">
        <f t="shared" si="78"/>
        <v>8</v>
      </c>
      <c r="C1353" s="191">
        <v>41128</v>
      </c>
      <c r="D1353" s="191" t="s">
        <v>453</v>
      </c>
      <c r="E1353" s="191">
        <v>41128</v>
      </c>
      <c r="F1353" s="192" t="s">
        <v>689</v>
      </c>
      <c r="G1353" s="490" t="s">
        <v>841</v>
      </c>
      <c r="H1353" s="210" t="s">
        <v>401</v>
      </c>
      <c r="I1353" s="252"/>
      <c r="J1353" s="252"/>
      <c r="K1353" s="38">
        <v>3900000</v>
      </c>
      <c r="L1353" s="194" t="s">
        <v>175</v>
      </c>
      <c r="M1353" s="194" t="s">
        <v>48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78"/>
        <v>8</v>
      </c>
      <c r="C1354" s="191">
        <v>41128</v>
      </c>
      <c r="D1354" s="191" t="s">
        <v>453</v>
      </c>
      <c r="E1354" s="191">
        <v>41128</v>
      </c>
      <c r="F1354" s="192" t="s">
        <v>372</v>
      </c>
      <c r="G1354" s="490" t="s">
        <v>841</v>
      </c>
      <c r="H1354" s="210" t="s">
        <v>401</v>
      </c>
      <c r="I1354" s="252"/>
      <c r="J1354" s="252"/>
      <c r="K1354" s="38">
        <v>390000</v>
      </c>
      <c r="L1354" s="194" t="s">
        <v>9</v>
      </c>
      <c r="M1354" s="194" t="s">
        <v>48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198">
        <v>8</v>
      </c>
      <c r="AB1354" s="198"/>
      <c r="AC1354" s="198"/>
      <c r="AD1354" s="198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78"/>
        <v>8</v>
      </c>
      <c r="C1355" s="191">
        <f>E1355</f>
        <v>41128</v>
      </c>
      <c r="D1355" s="191" t="s">
        <v>1606</v>
      </c>
      <c r="E1355" s="191">
        <v>41128</v>
      </c>
      <c r="F1355" s="192" t="s">
        <v>1138</v>
      </c>
      <c r="G1355" s="490" t="s">
        <v>1049</v>
      </c>
      <c r="H1355" s="193" t="s">
        <v>1015</v>
      </c>
      <c r="I1355" s="252">
        <v>1025</v>
      </c>
      <c r="J1355" s="252">
        <v>6900</v>
      </c>
      <c r="K1355" s="38">
        <f>ROUND(I1355*J1355,0)</f>
        <v>7072500</v>
      </c>
      <c r="L1355" s="194" t="s">
        <v>284</v>
      </c>
      <c r="M1355" s="194" t="s">
        <v>185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78"/>
        <v>8</v>
      </c>
      <c r="C1356" s="191">
        <f>E1356</f>
        <v>41128</v>
      </c>
      <c r="D1356" s="191" t="s">
        <v>1606</v>
      </c>
      <c r="E1356" s="191">
        <v>41128</v>
      </c>
      <c r="F1356" s="192" t="s">
        <v>555</v>
      </c>
      <c r="G1356" s="490" t="s">
        <v>1049</v>
      </c>
      <c r="H1356" s="193" t="s">
        <v>1015</v>
      </c>
      <c r="I1356" s="252"/>
      <c r="J1356" s="252"/>
      <c r="K1356" s="38">
        <v>707250</v>
      </c>
      <c r="L1356" s="194" t="s">
        <v>284</v>
      </c>
      <c r="M1356" s="194" t="s">
        <v>495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78"/>
        <v>8</v>
      </c>
      <c r="C1357" s="191">
        <f>E1357</f>
        <v>41128</v>
      </c>
      <c r="D1357" s="191" t="s">
        <v>1646</v>
      </c>
      <c r="E1357" s="191">
        <v>41128</v>
      </c>
      <c r="F1357" s="192" t="s">
        <v>365</v>
      </c>
      <c r="G1357" s="490" t="s">
        <v>1049</v>
      </c>
      <c r="H1357" s="193" t="s">
        <v>1015</v>
      </c>
      <c r="I1357" s="252"/>
      <c r="J1357" s="252"/>
      <c r="K1357" s="38">
        <v>7779750</v>
      </c>
      <c r="L1357" s="194" t="s">
        <v>48</v>
      </c>
      <c r="M1357" s="194" t="s">
        <v>284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198"/>
      <c r="AB1357" s="198"/>
      <c r="AC1357" s="198"/>
      <c r="AD1357" s="198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78"/>
        <v>8</v>
      </c>
      <c r="C1358" s="191">
        <v>41129</v>
      </c>
      <c r="D1358" s="191" t="s">
        <v>363</v>
      </c>
      <c r="E1358" s="191">
        <v>41129</v>
      </c>
      <c r="F1358" s="192" t="s">
        <v>365</v>
      </c>
      <c r="G1358" s="490" t="s">
        <v>361</v>
      </c>
      <c r="H1358" s="210" t="s">
        <v>792</v>
      </c>
      <c r="I1358" s="252"/>
      <c r="J1358" s="252"/>
      <c r="K1358" s="38">
        <v>7040000</v>
      </c>
      <c r="L1358" s="194" t="s">
        <v>24</v>
      </c>
      <c r="M1358" s="194" t="s">
        <v>284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>x</v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78"/>
        <v>8</v>
      </c>
      <c r="C1359" s="191">
        <f t="shared" ref="C1359:C1364" si="83">E1359</f>
        <v>41129</v>
      </c>
      <c r="D1359" s="191" t="s">
        <v>1607</v>
      </c>
      <c r="E1359" s="191">
        <v>41129</v>
      </c>
      <c r="F1359" s="189" t="s">
        <v>1121</v>
      </c>
      <c r="G1359" s="490" t="s">
        <v>1050</v>
      </c>
      <c r="H1359" s="193" t="s">
        <v>958</v>
      </c>
      <c r="I1359" s="252">
        <v>514</v>
      </c>
      <c r="J1359" s="252">
        <v>8890</v>
      </c>
      <c r="K1359" s="38">
        <f>ROUND(I1359*J1359,0)</f>
        <v>4569460</v>
      </c>
      <c r="L1359" s="194" t="s">
        <v>284</v>
      </c>
      <c r="M1359" s="194" t="s">
        <v>185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78"/>
        <v>8</v>
      </c>
      <c r="C1360" s="191">
        <f t="shared" si="83"/>
        <v>41129</v>
      </c>
      <c r="D1360" s="191" t="s">
        <v>1607</v>
      </c>
      <c r="E1360" s="191">
        <v>41129</v>
      </c>
      <c r="F1360" s="192" t="s">
        <v>1132</v>
      </c>
      <c r="G1360" s="490" t="s">
        <v>1050</v>
      </c>
      <c r="H1360" s="193" t="s">
        <v>958</v>
      </c>
      <c r="I1360" s="252">
        <v>794</v>
      </c>
      <c r="J1360" s="252">
        <v>11000</v>
      </c>
      <c r="K1360" s="38">
        <f>ROUND(I1360*J1360,0)</f>
        <v>8734000</v>
      </c>
      <c r="L1360" s="194" t="s">
        <v>284</v>
      </c>
      <c r="M1360" s="194" t="s">
        <v>185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78"/>
        <v>8</v>
      </c>
      <c r="C1361" s="191">
        <f t="shared" si="83"/>
        <v>41129</v>
      </c>
      <c r="D1361" s="191" t="s">
        <v>1607</v>
      </c>
      <c r="E1361" s="191">
        <v>41129</v>
      </c>
      <c r="F1361" s="192" t="s">
        <v>555</v>
      </c>
      <c r="G1361" s="490" t="s">
        <v>1050</v>
      </c>
      <c r="H1361" s="193" t="s">
        <v>958</v>
      </c>
      <c r="I1361" s="252"/>
      <c r="J1361" s="252"/>
      <c r="K1361" s="38">
        <v>1330346</v>
      </c>
      <c r="L1361" s="194" t="s">
        <v>284</v>
      </c>
      <c r="M1361" s="194" t="s">
        <v>495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198"/>
      <c r="AC1361" s="198"/>
      <c r="AD1361" s="198"/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78"/>
        <v>8</v>
      </c>
      <c r="C1362" s="191">
        <f t="shared" si="83"/>
        <v>41129</v>
      </c>
      <c r="D1362" s="191" t="s">
        <v>1647</v>
      </c>
      <c r="E1362" s="191">
        <v>41129</v>
      </c>
      <c r="F1362" s="192" t="s">
        <v>365</v>
      </c>
      <c r="G1362" s="490" t="s">
        <v>1050</v>
      </c>
      <c r="H1362" s="193" t="s">
        <v>958</v>
      </c>
      <c r="I1362" s="252"/>
      <c r="J1362" s="252"/>
      <c r="K1362" s="38">
        <v>14633806</v>
      </c>
      <c r="L1362" s="194" t="s">
        <v>48</v>
      </c>
      <c r="M1362" s="194" t="s">
        <v>284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/>
      <c r="AB1362" s="198"/>
      <c r="AC1362" s="198"/>
      <c r="AD1362" s="198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78"/>
        <v>8</v>
      </c>
      <c r="C1363" s="191">
        <f t="shared" si="83"/>
        <v>41129</v>
      </c>
      <c r="D1363" s="191" t="s">
        <v>1607</v>
      </c>
      <c r="E1363" s="191">
        <v>41129</v>
      </c>
      <c r="F1363" s="192" t="s">
        <v>1151</v>
      </c>
      <c r="G1363" s="490" t="s">
        <v>673</v>
      </c>
      <c r="H1363" s="193" t="s">
        <v>857</v>
      </c>
      <c r="I1363" s="252">
        <v>920</v>
      </c>
      <c r="J1363" s="252">
        <v>5800</v>
      </c>
      <c r="K1363" s="38">
        <f>ROUND(I1363*J1363,0)</f>
        <v>5336000</v>
      </c>
      <c r="L1363" s="194" t="s">
        <v>284</v>
      </c>
      <c r="M1363" s="194" t="s">
        <v>185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78"/>
        <v>8</v>
      </c>
      <c r="C1364" s="191">
        <f t="shared" si="83"/>
        <v>41129</v>
      </c>
      <c r="D1364" s="191" t="s">
        <v>1607</v>
      </c>
      <c r="E1364" s="191">
        <v>41129</v>
      </c>
      <c r="F1364" s="192" t="s">
        <v>555</v>
      </c>
      <c r="G1364" s="490" t="s">
        <v>673</v>
      </c>
      <c r="H1364" s="193" t="s">
        <v>857</v>
      </c>
      <c r="I1364" s="252"/>
      <c r="J1364" s="252"/>
      <c r="K1364" s="38">
        <v>533600</v>
      </c>
      <c r="L1364" s="194" t="s">
        <v>284</v>
      </c>
      <c r="M1364" s="194" t="s">
        <v>495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8"/>
      <c r="AB1364" s="198"/>
      <c r="AC1364" s="198"/>
      <c r="AD1364" s="198"/>
    </row>
    <row r="1365" spans="1:30" ht="15.75" customHeight="1">
      <c r="A1365" s="204" t="str">
        <f>IF(B1365&lt;&gt;"",IF(AND(B1365&gt;=_TM1,B1365&lt;=_TM2,OR(TH!L1365="1111",TH!M1365="1111")),TH!D1365,""),"")</f>
        <v/>
      </c>
      <c r="B1365" s="36">
        <f t="shared" ref="B1365:B1428" si="84">IF(C1365&lt;&gt;"",MONTH(C1365),"")</f>
        <v>8</v>
      </c>
      <c r="C1365" s="191">
        <v>41130</v>
      </c>
      <c r="D1365" s="191" t="s">
        <v>363</v>
      </c>
      <c r="E1365" s="191">
        <v>41130</v>
      </c>
      <c r="F1365" s="192" t="s">
        <v>365</v>
      </c>
      <c r="G1365" s="490" t="s">
        <v>361</v>
      </c>
      <c r="H1365" s="7" t="s">
        <v>497</v>
      </c>
      <c r="I1365" s="252"/>
      <c r="J1365" s="252"/>
      <c r="K1365" s="38">
        <v>10000000</v>
      </c>
      <c r="L1365" s="194" t="s">
        <v>24</v>
      </c>
      <c r="M1365" s="194" t="s">
        <v>284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>x</v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v>41130</v>
      </c>
      <c r="D1366" s="191" t="s">
        <v>363</v>
      </c>
      <c r="E1366" s="191">
        <v>41130</v>
      </c>
      <c r="F1366" s="192" t="s">
        <v>365</v>
      </c>
      <c r="G1366" s="192" t="s">
        <v>361</v>
      </c>
      <c r="H1366" s="45" t="s">
        <v>891</v>
      </c>
      <c r="I1366" s="252"/>
      <c r="J1366" s="252"/>
      <c r="K1366" s="38">
        <v>19790606</v>
      </c>
      <c r="L1366" s="194" t="s">
        <v>24</v>
      </c>
      <c r="M1366" s="194" t="s">
        <v>284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>x</v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v>41130</v>
      </c>
      <c r="D1367" s="191" t="s">
        <v>454</v>
      </c>
      <c r="E1367" s="191">
        <v>41130</v>
      </c>
      <c r="F1367" s="192" t="s">
        <v>1699</v>
      </c>
      <c r="G1367" s="192" t="s">
        <v>361</v>
      </c>
      <c r="H1367" s="45" t="s">
        <v>891</v>
      </c>
      <c r="I1367" s="252"/>
      <c r="J1367" s="252"/>
      <c r="K1367" s="38">
        <v>7254456</v>
      </c>
      <c r="L1367" s="194" t="s">
        <v>284</v>
      </c>
      <c r="M1367" s="194" t="s">
        <v>48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908"/>
      <c r="AD1367" s="198"/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v>41130</v>
      </c>
      <c r="D1368" s="191" t="s">
        <v>455</v>
      </c>
      <c r="E1368" s="191">
        <v>41130</v>
      </c>
      <c r="F1368" s="192" t="s">
        <v>589</v>
      </c>
      <c r="G1368" s="192" t="s">
        <v>843</v>
      </c>
      <c r="H1368" s="193" t="s">
        <v>591</v>
      </c>
      <c r="I1368" s="252"/>
      <c r="J1368" s="252"/>
      <c r="K1368" s="38">
        <v>634550</v>
      </c>
      <c r="L1368" s="194" t="s">
        <v>84</v>
      </c>
      <c r="M1368" s="194" t="s">
        <v>48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198"/>
      <c r="AB1368" s="198"/>
      <c r="AC1368" s="198"/>
      <c r="AD1368" s="198"/>
    </row>
    <row r="1369" spans="1:30" ht="15.75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v>41130</v>
      </c>
      <c r="D1369" s="191" t="s">
        <v>455</v>
      </c>
      <c r="E1369" s="191">
        <v>41130</v>
      </c>
      <c r="F1369" s="192" t="s">
        <v>592</v>
      </c>
      <c r="G1369" s="192" t="s">
        <v>843</v>
      </c>
      <c r="H1369" s="193" t="s">
        <v>591</v>
      </c>
      <c r="I1369" s="252"/>
      <c r="J1369" s="252"/>
      <c r="K1369" s="38">
        <v>63455</v>
      </c>
      <c r="L1369" s="194" t="s">
        <v>9</v>
      </c>
      <c r="M1369" s="194" t="s">
        <v>48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198">
        <v>8</v>
      </c>
    </row>
    <row r="1370" spans="1:30" ht="15.75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v>41130</v>
      </c>
      <c r="D1370" s="191" t="s">
        <v>478</v>
      </c>
      <c r="E1370" s="191">
        <v>41130</v>
      </c>
      <c r="F1370" s="192" t="s">
        <v>1462</v>
      </c>
      <c r="G1370" s="192" t="s">
        <v>844</v>
      </c>
      <c r="H1370" s="7" t="s">
        <v>436</v>
      </c>
      <c r="I1370" s="252">
        <v>60</v>
      </c>
      <c r="J1370" s="252">
        <v>15288</v>
      </c>
      <c r="K1370" s="38">
        <v>917280</v>
      </c>
      <c r="L1370" s="194" t="s">
        <v>169</v>
      </c>
      <c r="M1370" s="616" t="s">
        <v>8</v>
      </c>
      <c r="N1370" s="52" t="str">
        <f>IF(AND('331-CT'!$E$7=TH!H1370,OR(L1370="331",M1370="331")),"331",IF(AND(OR(L1370="131",M1370="131"),H1370='131-CT'!$E$7),"131",""))</f>
        <v>331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B1370" s="606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v>41130</v>
      </c>
      <c r="D1371" s="191" t="s">
        <v>478</v>
      </c>
      <c r="E1371" s="191">
        <v>41130</v>
      </c>
      <c r="F1371" s="192" t="s">
        <v>1349</v>
      </c>
      <c r="G1371" s="192" t="s">
        <v>844</v>
      </c>
      <c r="H1371" s="7" t="s">
        <v>436</v>
      </c>
      <c r="I1371" s="252">
        <v>100</v>
      </c>
      <c r="J1371" s="252">
        <v>23455</v>
      </c>
      <c r="K1371" s="38">
        <v>2345500</v>
      </c>
      <c r="L1371" s="194" t="s">
        <v>169</v>
      </c>
      <c r="M1371" s="616" t="s">
        <v>8</v>
      </c>
      <c r="N1371" s="52" t="str">
        <f>IF(AND('331-CT'!$E$7=TH!H1371,OR(L1371="331",M1371="331")),"331",IF(AND(OR(L1371="131",M1371="131"),H1371='131-CT'!$E$7),"131",""))</f>
        <v>331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198"/>
      <c r="AB1371" s="606"/>
      <c r="AC1371" s="198"/>
      <c r="AD1371" s="198"/>
    </row>
    <row r="1372" spans="1:30" ht="15.75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v>41130</v>
      </c>
      <c r="D1372" s="191" t="s">
        <v>478</v>
      </c>
      <c r="E1372" s="191">
        <v>41130</v>
      </c>
      <c r="F1372" s="192" t="s">
        <v>1350</v>
      </c>
      <c r="G1372" s="192" t="s">
        <v>844</v>
      </c>
      <c r="H1372" s="7" t="s">
        <v>436</v>
      </c>
      <c r="I1372" s="252">
        <v>100</v>
      </c>
      <c r="J1372" s="252">
        <v>20992</v>
      </c>
      <c r="K1372" s="38">
        <v>2099200</v>
      </c>
      <c r="L1372" s="194" t="s">
        <v>169</v>
      </c>
      <c r="M1372" s="616" t="s">
        <v>8</v>
      </c>
      <c r="N1372" s="52" t="str">
        <f>IF(AND('331-CT'!$E$7=TH!H1372,OR(L1372="331",M1372="331")),"331",IF(AND(OR(L1372="131",M1372="131"),H1372='131-CT'!$E$7),"131",""))</f>
        <v>331</v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B1372" s="606"/>
    </row>
    <row r="1373" spans="1:30" ht="15.75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41130</v>
      </c>
      <c r="D1373" s="191" t="s">
        <v>478</v>
      </c>
      <c r="E1373" s="191">
        <v>41130</v>
      </c>
      <c r="F1373" s="192" t="s">
        <v>1351</v>
      </c>
      <c r="G1373" s="192" t="s">
        <v>844</v>
      </c>
      <c r="H1373" s="7" t="s">
        <v>436</v>
      </c>
      <c r="I1373" s="252">
        <v>100</v>
      </c>
      <c r="J1373" s="252">
        <v>21848</v>
      </c>
      <c r="K1373" s="38">
        <v>2184800</v>
      </c>
      <c r="L1373" s="194" t="s">
        <v>169</v>
      </c>
      <c r="M1373" s="616" t="s">
        <v>8</v>
      </c>
      <c r="N1373" s="52" t="str">
        <f>IF(AND('331-CT'!$E$7=TH!H1373,OR(L1373="331",M1373="331")),"331",IF(AND(OR(L1373="131",M1373="131"),H1373='131-CT'!$E$7),"131",""))</f>
        <v>331</v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B1373" s="606"/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41130</v>
      </c>
      <c r="D1374" s="191" t="s">
        <v>478</v>
      </c>
      <c r="E1374" s="191">
        <v>41130</v>
      </c>
      <c r="F1374" s="192" t="s">
        <v>1352</v>
      </c>
      <c r="G1374" s="192" t="s">
        <v>844</v>
      </c>
      <c r="H1374" s="7" t="s">
        <v>436</v>
      </c>
      <c r="I1374" s="252">
        <v>140</v>
      </c>
      <c r="J1374" s="252">
        <v>19768</v>
      </c>
      <c r="K1374" s="38">
        <v>2767520</v>
      </c>
      <c r="L1374" s="194" t="s">
        <v>169</v>
      </c>
      <c r="M1374" s="616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6"/>
      <c r="AC1374" s="198"/>
      <c r="AD1374" s="198"/>
    </row>
    <row r="1375" spans="1:30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41130</v>
      </c>
      <c r="D1375" s="191" t="s">
        <v>478</v>
      </c>
      <c r="E1375" s="191">
        <v>41130</v>
      </c>
      <c r="F1375" s="192" t="s">
        <v>1339</v>
      </c>
      <c r="G1375" s="192" t="s">
        <v>844</v>
      </c>
      <c r="H1375" s="7" t="s">
        <v>436</v>
      </c>
      <c r="I1375" s="252">
        <v>250</v>
      </c>
      <c r="J1375" s="252">
        <v>13999</v>
      </c>
      <c r="K1375" s="38">
        <v>3499750</v>
      </c>
      <c r="L1375" s="194" t="s">
        <v>169</v>
      </c>
      <c r="M1375" s="616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6"/>
      <c r="AC1375" s="198"/>
      <c r="AD1375" s="198"/>
    </row>
    <row r="1376" spans="1:30" ht="15.75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41130</v>
      </c>
      <c r="D1376" s="191" t="s">
        <v>478</v>
      </c>
      <c r="E1376" s="191">
        <v>41130</v>
      </c>
      <c r="F1376" s="192" t="s">
        <v>566</v>
      </c>
      <c r="G1376" s="192" t="s">
        <v>844</v>
      </c>
      <c r="H1376" s="7" t="s">
        <v>436</v>
      </c>
      <c r="I1376" s="252"/>
      <c r="J1376" s="252"/>
      <c r="K1376" s="38">
        <v>1381405</v>
      </c>
      <c r="L1376" s="194" t="s">
        <v>9</v>
      </c>
      <c r="M1376" s="616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198">
        <v>8</v>
      </c>
    </row>
    <row r="1377" spans="1:30" ht="15.75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41130</v>
      </c>
      <c r="D1377" s="191" t="s">
        <v>456</v>
      </c>
      <c r="E1377" s="191">
        <v>41130</v>
      </c>
      <c r="F1377" s="192" t="s">
        <v>400</v>
      </c>
      <c r="G1377" s="192" t="s">
        <v>844</v>
      </c>
      <c r="H1377" s="7" t="s">
        <v>436</v>
      </c>
      <c r="I1377" s="252"/>
      <c r="J1377" s="252"/>
      <c r="K1377" s="38">
        <v>15195455</v>
      </c>
      <c r="L1377" s="616" t="s">
        <v>8</v>
      </c>
      <c r="M1377" s="616" t="s">
        <v>48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30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41131</v>
      </c>
      <c r="D1378" s="191" t="s">
        <v>363</v>
      </c>
      <c r="E1378" s="191">
        <v>41131</v>
      </c>
      <c r="F1378" s="192" t="s">
        <v>365</v>
      </c>
      <c r="G1378" s="192" t="s">
        <v>361</v>
      </c>
      <c r="H1378" s="193" t="s">
        <v>700</v>
      </c>
      <c r="I1378" s="252"/>
      <c r="J1378" s="252"/>
      <c r="K1378" s="38">
        <v>8084780</v>
      </c>
      <c r="L1378" s="194" t="s">
        <v>24</v>
      </c>
      <c r="M1378" s="194" t="s">
        <v>284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41131</v>
      </c>
      <c r="D1379" s="191" t="s">
        <v>364</v>
      </c>
      <c r="E1379" s="191">
        <v>41131</v>
      </c>
      <c r="F1379" s="192" t="s">
        <v>400</v>
      </c>
      <c r="G1379" s="192" t="s">
        <v>361</v>
      </c>
      <c r="H1379" s="7" t="s">
        <v>436</v>
      </c>
      <c r="I1379" s="252"/>
      <c r="J1379" s="252"/>
      <c r="K1379" s="38">
        <v>80000000</v>
      </c>
      <c r="L1379" s="616" t="s">
        <v>8</v>
      </c>
      <c r="M1379" s="194" t="s">
        <v>24</v>
      </c>
      <c r="N1379" s="52" t="str">
        <f>IF(AND('331-CT'!$E$7=TH!H1379,OR(L1379="331",M1379="331")),"331",IF(AND(OR(L1379="131",M1379="131"),H1379='131-CT'!$E$7),"131",""))</f>
        <v>331</v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>x</v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41131</v>
      </c>
      <c r="D1380" s="191" t="s">
        <v>364</v>
      </c>
      <c r="E1380" s="191">
        <v>41131</v>
      </c>
      <c r="F1380" s="192" t="s">
        <v>366</v>
      </c>
      <c r="G1380" s="192" t="s">
        <v>361</v>
      </c>
      <c r="H1380" s="193"/>
      <c r="I1380" s="252"/>
      <c r="J1380" s="252"/>
      <c r="K1380" s="38">
        <v>40000</v>
      </c>
      <c r="L1380" s="875" t="s">
        <v>84</v>
      </c>
      <c r="M1380" s="194" t="s">
        <v>24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>x</v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/>
      <c r="AB1380" s="198"/>
      <c r="AC1380" s="198"/>
      <c r="AD1380" s="198"/>
    </row>
    <row r="1381" spans="1:30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41131</v>
      </c>
      <c r="D1381" s="191" t="s">
        <v>479</v>
      </c>
      <c r="E1381" s="191">
        <v>41131</v>
      </c>
      <c r="F1381" s="192" t="s">
        <v>1353</v>
      </c>
      <c r="G1381" s="192" t="s">
        <v>845</v>
      </c>
      <c r="H1381" s="7" t="s">
        <v>436</v>
      </c>
      <c r="I1381" s="252">
        <v>1000</v>
      </c>
      <c r="J1381" s="252">
        <v>21023</v>
      </c>
      <c r="K1381" s="38">
        <v>21023000</v>
      </c>
      <c r="L1381" s="194" t="s">
        <v>169</v>
      </c>
      <c r="M1381" s="616" t="s">
        <v>8</v>
      </c>
      <c r="N1381" s="52" t="str">
        <f>IF(AND('331-CT'!$E$7=TH!H1381,OR(L1381="331",M1381="331")),"331",IF(AND(OR(L1381="131",M1381="131"),H1381='131-CT'!$E$7),"131",""))</f>
        <v>331</v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198"/>
      <c r="AB1381" s="606"/>
      <c r="AC1381" s="198"/>
      <c r="AD1381" s="198"/>
    </row>
    <row r="1382" spans="1:30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41131</v>
      </c>
      <c r="D1382" s="191" t="s">
        <v>479</v>
      </c>
      <c r="E1382" s="191">
        <v>41131</v>
      </c>
      <c r="F1382" s="192" t="s">
        <v>566</v>
      </c>
      <c r="G1382" s="192" t="s">
        <v>845</v>
      </c>
      <c r="H1382" s="7" t="s">
        <v>436</v>
      </c>
      <c r="I1382" s="252"/>
      <c r="J1382" s="252"/>
      <c r="K1382" s="38">
        <v>2102300</v>
      </c>
      <c r="L1382" s="194" t="s">
        <v>9</v>
      </c>
      <c r="M1382" s="616" t="s">
        <v>8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198">
        <v>8</v>
      </c>
      <c r="AB1382" s="198"/>
      <c r="AC1382" s="198"/>
      <c r="AD1382" s="198"/>
    </row>
    <row r="1383" spans="1:30" ht="15.75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41134</v>
      </c>
      <c r="D1383" s="191" t="s">
        <v>480</v>
      </c>
      <c r="E1383" s="191">
        <v>41134</v>
      </c>
      <c r="F1383" s="192" t="s">
        <v>1466</v>
      </c>
      <c r="G1383" s="192" t="s">
        <v>846</v>
      </c>
      <c r="H1383" s="7" t="s">
        <v>436</v>
      </c>
      <c r="I1383" s="252">
        <v>120</v>
      </c>
      <c r="J1383" s="252">
        <v>10287</v>
      </c>
      <c r="K1383" s="38">
        <v>1234440</v>
      </c>
      <c r="L1383" s="194" t="s">
        <v>169</v>
      </c>
      <c r="M1383" s="616" t="s">
        <v>8</v>
      </c>
      <c r="N1383" s="52" t="str">
        <f>IF(AND('331-CT'!$E$7=TH!H1383,OR(L1383="331",M1383="331")),"331",IF(AND(OR(L1383="131",M1383="131"),H1383='131-CT'!$E$7),"131",""))</f>
        <v>331</v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B1383" s="606"/>
    </row>
    <row r="1384" spans="1:30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41134</v>
      </c>
      <c r="D1384" s="191" t="s">
        <v>480</v>
      </c>
      <c r="E1384" s="191">
        <v>41134</v>
      </c>
      <c r="F1384" s="192" t="s">
        <v>566</v>
      </c>
      <c r="G1384" s="192" t="s">
        <v>846</v>
      </c>
      <c r="H1384" s="7" t="s">
        <v>436</v>
      </c>
      <c r="I1384" s="252"/>
      <c r="J1384" s="252"/>
      <c r="K1384" s="38">
        <v>123444</v>
      </c>
      <c r="L1384" s="875" t="s">
        <v>9</v>
      </c>
      <c r="M1384" s="616" t="s">
        <v>8</v>
      </c>
      <c r="N1384" s="52" t="str">
        <f>IF(AND('331-CT'!$E$7=TH!H1384,OR(L1384="331",M1384="331")),"331",IF(AND(OR(L1384="131",M1384="131"),H1384='131-CT'!$E$7),"131",""))</f>
        <v>331</v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>
        <v>8</v>
      </c>
      <c r="AB1384" s="198"/>
      <c r="AC1384" s="198"/>
      <c r="AD1384" s="198"/>
    </row>
    <row r="1385" spans="1:30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41134</v>
      </c>
      <c r="D1385" s="191" t="s">
        <v>457</v>
      </c>
      <c r="E1385" s="191">
        <v>41134</v>
      </c>
      <c r="F1385" s="192" t="s">
        <v>400</v>
      </c>
      <c r="G1385" s="192" t="s">
        <v>846</v>
      </c>
      <c r="H1385" s="7" t="s">
        <v>436</v>
      </c>
      <c r="I1385" s="252"/>
      <c r="J1385" s="252"/>
      <c r="K1385" s="38">
        <v>1357884</v>
      </c>
      <c r="L1385" s="616" t="s">
        <v>8</v>
      </c>
      <c r="M1385" s="616" t="s">
        <v>48</v>
      </c>
      <c r="N1385" s="52" t="str">
        <f>IF(AND('331-CT'!$E$7=TH!H1385,OR(L1385="331",M1385="331")),"331",IF(AND(OR(L1385="131",M1385="131"),H1385='131-CT'!$E$7),"131",""))</f>
        <v>331</v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/>
      <c r="AB1385" s="198"/>
      <c r="AC1385" s="198"/>
      <c r="AD1385" s="198"/>
    </row>
    <row r="1386" spans="1:30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41135</v>
      </c>
      <c r="D1386" s="191" t="s">
        <v>1659</v>
      </c>
      <c r="E1386" s="191">
        <v>41135</v>
      </c>
      <c r="F1386" s="192" t="s">
        <v>396</v>
      </c>
      <c r="G1386" s="192" t="s">
        <v>361</v>
      </c>
      <c r="H1386" s="193" t="s">
        <v>684</v>
      </c>
      <c r="I1386" s="252"/>
      <c r="J1386" s="252"/>
      <c r="K1386" s="38">
        <v>18500000</v>
      </c>
      <c r="L1386" s="194" t="s">
        <v>24</v>
      </c>
      <c r="M1386" s="194" t="s">
        <v>48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>x</v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198"/>
      <c r="AB1386" s="198"/>
      <c r="AC1386" s="198"/>
      <c r="AD1386" s="198"/>
    </row>
    <row r="1387" spans="1:30" ht="15.75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41136</v>
      </c>
      <c r="D1387" s="191" t="s">
        <v>1661</v>
      </c>
      <c r="E1387" s="191">
        <v>41136</v>
      </c>
      <c r="F1387" s="192" t="s">
        <v>847</v>
      </c>
      <c r="G1387" s="192" t="s">
        <v>848</v>
      </c>
      <c r="H1387" s="193" t="s">
        <v>401</v>
      </c>
      <c r="I1387" s="252"/>
      <c r="J1387" s="252"/>
      <c r="K1387" s="38">
        <v>1320000</v>
      </c>
      <c r="L1387" s="194" t="s">
        <v>175</v>
      </c>
      <c r="M1387" s="194" t="s">
        <v>48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30" ht="15.75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41136</v>
      </c>
      <c r="D1388" s="191" t="s">
        <v>1661</v>
      </c>
      <c r="E1388" s="191">
        <v>41136</v>
      </c>
      <c r="F1388" s="192" t="s">
        <v>372</v>
      </c>
      <c r="G1388" s="490" t="s">
        <v>848</v>
      </c>
      <c r="H1388" s="193" t="s">
        <v>401</v>
      </c>
      <c r="I1388" s="252"/>
      <c r="J1388" s="252"/>
      <c r="K1388" s="38">
        <v>132000</v>
      </c>
      <c r="L1388" s="194" t="s">
        <v>9</v>
      </c>
      <c r="M1388" s="194" t="s">
        <v>48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198">
        <v>8</v>
      </c>
    </row>
    <row r="1389" spans="1:30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41136</v>
      </c>
      <c r="D1389" s="191" t="s">
        <v>481</v>
      </c>
      <c r="E1389" s="191">
        <v>41136</v>
      </c>
      <c r="F1389" s="192" t="s">
        <v>1346</v>
      </c>
      <c r="G1389" s="490" t="s">
        <v>849</v>
      </c>
      <c r="H1389" s="7" t="s">
        <v>436</v>
      </c>
      <c r="I1389" s="252">
        <v>340</v>
      </c>
      <c r="J1389" s="252">
        <v>29411</v>
      </c>
      <c r="K1389" s="38">
        <v>9999740</v>
      </c>
      <c r="L1389" s="194" t="s">
        <v>169</v>
      </c>
      <c r="M1389" s="616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/>
      <c r="AB1389" s="606"/>
      <c r="AC1389" s="198"/>
      <c r="AD1389" s="198"/>
    </row>
    <row r="1390" spans="1:30" ht="15.75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41136</v>
      </c>
      <c r="D1390" s="191" t="s">
        <v>481</v>
      </c>
      <c r="E1390" s="191">
        <v>41136</v>
      </c>
      <c r="F1390" s="192" t="s">
        <v>1354</v>
      </c>
      <c r="G1390" s="192" t="s">
        <v>849</v>
      </c>
      <c r="H1390" s="7" t="s">
        <v>436</v>
      </c>
      <c r="I1390" s="252">
        <v>100</v>
      </c>
      <c r="J1390" s="252">
        <v>22601</v>
      </c>
      <c r="K1390" s="38">
        <v>2260100</v>
      </c>
      <c r="L1390" s="194" t="s">
        <v>169</v>
      </c>
      <c r="M1390" s="616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B1390" s="606"/>
    </row>
    <row r="1391" spans="1:30" ht="15.75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41136</v>
      </c>
      <c r="D1391" s="191" t="s">
        <v>481</v>
      </c>
      <c r="E1391" s="191">
        <v>41136</v>
      </c>
      <c r="F1391" s="192" t="s">
        <v>566</v>
      </c>
      <c r="G1391" s="192" t="s">
        <v>849</v>
      </c>
      <c r="H1391" s="7" t="s">
        <v>436</v>
      </c>
      <c r="I1391" s="252"/>
      <c r="J1391" s="252"/>
      <c r="K1391" s="38">
        <v>1225984</v>
      </c>
      <c r="L1391" s="194" t="s">
        <v>9</v>
      </c>
      <c r="M1391" s="616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</row>
    <row r="1392" spans="1:30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41136</v>
      </c>
      <c r="D1392" s="191" t="s">
        <v>1663</v>
      </c>
      <c r="E1392" s="191">
        <v>41136</v>
      </c>
      <c r="F1392" s="192" t="s">
        <v>400</v>
      </c>
      <c r="G1392" s="192" t="s">
        <v>849</v>
      </c>
      <c r="H1392" s="7" t="s">
        <v>436</v>
      </c>
      <c r="I1392" s="252"/>
      <c r="J1392" s="252"/>
      <c r="K1392" s="38">
        <v>13485824</v>
      </c>
      <c r="L1392" s="616" t="s">
        <v>8</v>
      </c>
      <c r="M1392" s="616" t="s">
        <v>48</v>
      </c>
      <c r="N1392" s="52" t="str">
        <f>IF(AND('331-CT'!$E$7=TH!H1392,OR(L1392="331",M1392="331")),"331",IF(AND(OR(L1392="131",M1392="131"),H1392='131-CT'!$E$7),"131",""))</f>
        <v>331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198"/>
      <c r="AB1392" s="198"/>
      <c r="AC1392" s="198"/>
      <c r="AD1392" s="198"/>
    </row>
    <row r="1393" spans="1:30" ht="15.75" customHeight="1">
      <c r="A1393" s="204" t="str">
        <f>IF(B1393&lt;&gt;"",IF(AND(B1393&gt;=_TM1,B1393&lt;=_TM2,OR(TH!L1393="1111",TH!M1393="1111")),TH!D1393,""),"")</f>
        <v/>
      </c>
      <c r="B1393" s="36">
        <f t="shared" si="84"/>
        <v>8</v>
      </c>
      <c r="C1393" s="191">
        <f>E1393</f>
        <v>41136</v>
      </c>
      <c r="D1393" s="191" t="s">
        <v>1608</v>
      </c>
      <c r="E1393" s="191">
        <v>41136</v>
      </c>
      <c r="F1393" s="297" t="s">
        <v>1157</v>
      </c>
      <c r="G1393" s="490" t="s">
        <v>1051</v>
      </c>
      <c r="H1393" s="7" t="s">
        <v>500</v>
      </c>
      <c r="I1393" s="252">
        <v>1024</v>
      </c>
      <c r="J1393" s="252">
        <v>10900</v>
      </c>
      <c r="K1393" s="38">
        <f>ROUND(I1393*J1393,0)</f>
        <v>11161600</v>
      </c>
      <c r="L1393" s="194" t="s">
        <v>284</v>
      </c>
      <c r="M1393" s="194" t="s">
        <v>185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211"/>
      <c r="AB1393" s="211"/>
      <c r="AC1393" s="211"/>
      <c r="AD1393" s="211"/>
    </row>
    <row r="1394" spans="1:30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84"/>
        <v>8</v>
      </c>
      <c r="C1394" s="191">
        <f>E1394</f>
        <v>41136</v>
      </c>
      <c r="D1394" s="191" t="s">
        <v>1608</v>
      </c>
      <c r="E1394" s="191">
        <v>41136</v>
      </c>
      <c r="F1394" s="192" t="s">
        <v>555</v>
      </c>
      <c r="G1394" s="490" t="s">
        <v>1051</v>
      </c>
      <c r="H1394" s="7" t="s">
        <v>500</v>
      </c>
      <c r="I1394" s="252"/>
      <c r="J1394" s="252"/>
      <c r="K1394" s="38">
        <v>1116160</v>
      </c>
      <c r="L1394" s="194" t="s">
        <v>284</v>
      </c>
      <c r="M1394" s="194" t="s">
        <v>495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198"/>
      <c r="AC1394" s="198"/>
      <c r="AD1394" s="198"/>
    </row>
    <row r="1395" spans="1:30" ht="15.75" customHeight="1">
      <c r="A1395" s="204" t="str">
        <f>IF(B1395&lt;&gt;"",IF(AND(B1395&gt;=_TM1,B1395&lt;=_TM2,OR(TH!L1395="1111",TH!M1395="1111")),TH!D1395,""),"")</f>
        <v/>
      </c>
      <c r="B1395" s="36">
        <f t="shared" si="84"/>
        <v>8</v>
      </c>
      <c r="C1395" s="191">
        <v>41137</v>
      </c>
      <c r="D1395" s="191" t="s">
        <v>482</v>
      </c>
      <c r="E1395" s="191">
        <v>41137</v>
      </c>
      <c r="F1395" s="192" t="s">
        <v>850</v>
      </c>
      <c r="G1395" s="192" t="s">
        <v>553</v>
      </c>
      <c r="H1395" s="193" t="s">
        <v>851</v>
      </c>
      <c r="I1395" s="252">
        <v>500</v>
      </c>
      <c r="J1395" s="252">
        <v>13125</v>
      </c>
      <c r="K1395" s="38">
        <v>6562500</v>
      </c>
      <c r="L1395" s="194" t="s">
        <v>169</v>
      </c>
      <c r="M1395" s="616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B1395" s="606"/>
    </row>
    <row r="1396" spans="1:30" ht="15.75" customHeight="1">
      <c r="A1396" s="204" t="str">
        <f>IF(B1396&lt;&gt;"",IF(AND(B1396&gt;=_TM1,B1396&lt;=_TM2,OR(TH!L1396="1111",TH!M1396="1111")),TH!D1396,""),"")</f>
        <v/>
      </c>
      <c r="B1396" s="36">
        <f t="shared" si="84"/>
        <v>8</v>
      </c>
      <c r="C1396" s="191">
        <v>41137</v>
      </c>
      <c r="D1396" s="191" t="s">
        <v>482</v>
      </c>
      <c r="E1396" s="191">
        <v>41137</v>
      </c>
      <c r="F1396" s="192" t="s">
        <v>852</v>
      </c>
      <c r="G1396" s="490" t="s">
        <v>553</v>
      </c>
      <c r="H1396" s="193" t="s">
        <v>851</v>
      </c>
      <c r="I1396" s="252">
        <v>500</v>
      </c>
      <c r="J1396" s="252">
        <v>10863</v>
      </c>
      <c r="K1396" s="38">
        <v>5431500</v>
      </c>
      <c r="L1396" s="194" t="s">
        <v>169</v>
      </c>
      <c r="M1396" s="616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B1396" s="606"/>
    </row>
    <row r="1397" spans="1:30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84"/>
        <v>8</v>
      </c>
      <c r="C1397" s="191">
        <v>41137</v>
      </c>
      <c r="D1397" s="191" t="s">
        <v>482</v>
      </c>
      <c r="E1397" s="191">
        <v>41137</v>
      </c>
      <c r="F1397" s="192" t="s">
        <v>853</v>
      </c>
      <c r="G1397" s="490" t="s">
        <v>553</v>
      </c>
      <c r="H1397" s="193" t="s">
        <v>851</v>
      </c>
      <c r="I1397" s="252">
        <v>1000</v>
      </c>
      <c r="J1397" s="252">
        <v>4600</v>
      </c>
      <c r="K1397" s="38">
        <v>4600000</v>
      </c>
      <c r="L1397" s="194" t="s">
        <v>169</v>
      </c>
      <c r="M1397" s="616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6"/>
      <c r="AC1397" s="198"/>
      <c r="AD1397" s="198"/>
    </row>
    <row r="1398" spans="1:30" ht="15.75" customHeight="1">
      <c r="A1398" s="204" t="str">
        <f>IF(B1398&lt;&gt;"",IF(AND(B1398&gt;=_TM1,B1398&lt;=_TM2,OR(TH!L1398="1111",TH!M1398="1111")),TH!D1398,""),"")</f>
        <v/>
      </c>
      <c r="B1398" s="36">
        <f t="shared" si="84"/>
        <v>8</v>
      </c>
      <c r="C1398" s="191">
        <v>41137</v>
      </c>
      <c r="D1398" s="191" t="s">
        <v>482</v>
      </c>
      <c r="E1398" s="191">
        <v>41137</v>
      </c>
      <c r="F1398" s="192" t="s">
        <v>854</v>
      </c>
      <c r="G1398" s="490" t="s">
        <v>553</v>
      </c>
      <c r="H1398" s="193" t="s">
        <v>851</v>
      </c>
      <c r="I1398" s="252"/>
      <c r="J1398" s="252"/>
      <c r="K1398" s="38">
        <v>1659400</v>
      </c>
      <c r="L1398" s="194" t="s">
        <v>9</v>
      </c>
      <c r="M1398" s="616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198">
        <v>9</v>
      </c>
    </row>
    <row r="1399" spans="1:30" ht="15.75" customHeight="1">
      <c r="A1399" s="204" t="str">
        <f>IF(B1399&lt;&gt;"",IF(AND(B1399&gt;=_TM1,B1399&lt;=_TM2,OR(TH!L1399="1111",TH!M1399="1111")),TH!D1399,""),"")</f>
        <v/>
      </c>
      <c r="B1399" s="36">
        <f t="shared" si="84"/>
        <v>8</v>
      </c>
      <c r="C1399" s="191">
        <v>41137</v>
      </c>
      <c r="D1399" s="191" t="s">
        <v>1664</v>
      </c>
      <c r="E1399" s="191">
        <v>41137</v>
      </c>
      <c r="F1399" s="192" t="s">
        <v>400</v>
      </c>
      <c r="G1399" s="490" t="s">
        <v>553</v>
      </c>
      <c r="H1399" s="193" t="s">
        <v>851</v>
      </c>
      <c r="I1399" s="252"/>
      <c r="J1399" s="252"/>
      <c r="K1399" s="38">
        <v>18253400</v>
      </c>
      <c r="L1399" s="616" t="s">
        <v>8</v>
      </c>
      <c r="M1399" s="616" t="s">
        <v>48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30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84"/>
        <v>8</v>
      </c>
      <c r="C1400" s="191">
        <f t="shared" ref="C1400:C1408" si="85">E1400</f>
        <v>41137</v>
      </c>
      <c r="D1400" s="191" t="s">
        <v>1609</v>
      </c>
      <c r="E1400" s="191">
        <v>41137</v>
      </c>
      <c r="F1400" s="189" t="s">
        <v>1145</v>
      </c>
      <c r="G1400" s="490" t="s">
        <v>1052</v>
      </c>
      <c r="H1400" s="193" t="s">
        <v>910</v>
      </c>
      <c r="I1400" s="252">
        <v>507</v>
      </c>
      <c r="J1400" s="252">
        <v>11020</v>
      </c>
      <c r="K1400" s="38">
        <f>ROUND(I1400*J1400,0)</f>
        <v>5587140</v>
      </c>
      <c r="L1400" s="194" t="s">
        <v>284</v>
      </c>
      <c r="M1400" s="194" t="s">
        <v>185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30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84"/>
        <v>8</v>
      </c>
      <c r="C1401" s="191">
        <f t="shared" si="85"/>
        <v>41137</v>
      </c>
      <c r="D1401" s="191" t="s">
        <v>1609</v>
      </c>
      <c r="E1401" s="191">
        <v>41137</v>
      </c>
      <c r="F1401" s="192" t="s">
        <v>1150</v>
      </c>
      <c r="G1401" s="490" t="s">
        <v>1052</v>
      </c>
      <c r="H1401" s="193" t="s">
        <v>910</v>
      </c>
      <c r="I1401" s="252">
        <v>203</v>
      </c>
      <c r="J1401" s="252">
        <v>7235</v>
      </c>
      <c r="K1401" s="38">
        <f>ROUND(I1401*J1401,0)</f>
        <v>1468705</v>
      </c>
      <c r="L1401" s="194" t="s">
        <v>284</v>
      </c>
      <c r="M1401" s="194" t="s">
        <v>185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30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84"/>
        <v>8</v>
      </c>
      <c r="C1402" s="191">
        <f t="shared" si="85"/>
        <v>41137</v>
      </c>
      <c r="D1402" s="191" t="s">
        <v>1609</v>
      </c>
      <c r="E1402" s="191">
        <v>41137</v>
      </c>
      <c r="F1402" s="192" t="s">
        <v>555</v>
      </c>
      <c r="G1402" s="490" t="s">
        <v>1052</v>
      </c>
      <c r="H1402" s="193" t="s">
        <v>910</v>
      </c>
      <c r="I1402" s="252"/>
      <c r="J1402" s="252"/>
      <c r="K1402" s="38">
        <v>705585</v>
      </c>
      <c r="L1402" s="194" t="s">
        <v>284</v>
      </c>
      <c r="M1402" s="194" t="s">
        <v>495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84"/>
        <v>8</v>
      </c>
      <c r="C1403" s="191">
        <f t="shared" si="85"/>
        <v>41137</v>
      </c>
      <c r="D1403" s="191" t="s">
        <v>1648</v>
      </c>
      <c r="E1403" s="191">
        <v>41137</v>
      </c>
      <c r="F1403" s="192" t="s">
        <v>365</v>
      </c>
      <c r="G1403" s="490" t="s">
        <v>1052</v>
      </c>
      <c r="H1403" s="193" t="s">
        <v>910</v>
      </c>
      <c r="I1403" s="252"/>
      <c r="J1403" s="252"/>
      <c r="K1403" s="38">
        <v>7761430</v>
      </c>
      <c r="L1403" s="194" t="s">
        <v>48</v>
      </c>
      <c r="M1403" s="194" t="s">
        <v>284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8"/>
      <c r="AB1403" s="198"/>
      <c r="AC1403" s="198"/>
      <c r="AD1403" s="198"/>
    </row>
    <row r="1404" spans="1:30" ht="15.75" customHeight="1">
      <c r="A1404" s="204" t="str">
        <f>IF(B1404&lt;&gt;"",IF(AND(B1404&gt;=_TM1,B1404&lt;=_TM2,OR(TH!L1404="1111",TH!M1404="1111")),TH!D1404,""),"")</f>
        <v/>
      </c>
      <c r="B1404" s="36">
        <f t="shared" si="84"/>
        <v>8</v>
      </c>
      <c r="C1404" s="191">
        <f t="shared" si="85"/>
        <v>41137</v>
      </c>
      <c r="D1404" s="191" t="s">
        <v>1610</v>
      </c>
      <c r="E1404" s="191">
        <v>41137</v>
      </c>
      <c r="F1404" s="192" t="s">
        <v>1053</v>
      </c>
      <c r="G1404" s="490" t="s">
        <v>1054</v>
      </c>
      <c r="H1404" s="193" t="s">
        <v>873</v>
      </c>
      <c r="I1404" s="252">
        <v>3903</v>
      </c>
      <c r="J1404" s="252">
        <v>6580</v>
      </c>
      <c r="K1404" s="38">
        <f>ROUND(I1404*J1404,0)</f>
        <v>25681740</v>
      </c>
      <c r="L1404" s="194" t="s">
        <v>284</v>
      </c>
      <c r="M1404" s="194" t="s">
        <v>185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211"/>
      <c r="AB1404" s="211"/>
      <c r="AC1404" s="211"/>
      <c r="AD1404" s="211"/>
    </row>
    <row r="1405" spans="1:30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84"/>
        <v>8</v>
      </c>
      <c r="C1405" s="191">
        <f t="shared" si="85"/>
        <v>41137</v>
      </c>
      <c r="D1405" s="191" t="s">
        <v>1610</v>
      </c>
      <c r="E1405" s="191">
        <v>41137</v>
      </c>
      <c r="F1405" s="192" t="s">
        <v>1055</v>
      </c>
      <c r="G1405" s="490" t="s">
        <v>1054</v>
      </c>
      <c r="H1405" s="193" t="s">
        <v>873</v>
      </c>
      <c r="I1405" s="252">
        <v>3010</v>
      </c>
      <c r="J1405" s="252">
        <v>7100</v>
      </c>
      <c r="K1405" s="38">
        <f>ROUND(I1405*J1405,0)</f>
        <v>21371000</v>
      </c>
      <c r="L1405" s="194" t="s">
        <v>284</v>
      </c>
      <c r="M1405" s="194" t="s">
        <v>185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30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84"/>
        <v>8</v>
      </c>
      <c r="C1406" s="191">
        <f t="shared" si="85"/>
        <v>41137</v>
      </c>
      <c r="D1406" s="191" t="s">
        <v>1610</v>
      </c>
      <c r="E1406" s="191">
        <v>41137</v>
      </c>
      <c r="F1406" s="192" t="s">
        <v>1056</v>
      </c>
      <c r="G1406" s="490" t="s">
        <v>1054</v>
      </c>
      <c r="H1406" s="193" t="s">
        <v>873</v>
      </c>
      <c r="I1406" s="252">
        <v>310</v>
      </c>
      <c r="J1406" s="252">
        <v>7300</v>
      </c>
      <c r="K1406" s="38">
        <f>ROUND(I1406*J1406,0)</f>
        <v>2263000</v>
      </c>
      <c r="L1406" s="194" t="s">
        <v>284</v>
      </c>
      <c r="M1406" s="194" t="s">
        <v>185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30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84"/>
        <v>8</v>
      </c>
      <c r="C1407" s="191">
        <f t="shared" si="85"/>
        <v>41137</v>
      </c>
      <c r="D1407" s="191" t="s">
        <v>1610</v>
      </c>
      <c r="E1407" s="191">
        <v>41137</v>
      </c>
      <c r="F1407" s="192" t="s">
        <v>1057</v>
      </c>
      <c r="G1407" s="490" t="s">
        <v>1054</v>
      </c>
      <c r="H1407" s="193" t="s">
        <v>873</v>
      </c>
      <c r="I1407" s="252">
        <v>252</v>
      </c>
      <c r="J1407" s="252">
        <v>6580</v>
      </c>
      <c r="K1407" s="38">
        <f>ROUND(I1407*J1407,0)</f>
        <v>1658160</v>
      </c>
      <c r="L1407" s="194" t="s">
        <v>284</v>
      </c>
      <c r="M1407" s="194" t="s">
        <v>185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30" ht="15.75" customHeight="1">
      <c r="A1408" s="204" t="str">
        <f>IF(B1408&lt;&gt;"",IF(AND(B1408&gt;=_TM1,B1408&lt;=_TM2,OR(TH!L1408="1111",TH!M1408="1111")),TH!D1408,""),"")</f>
        <v/>
      </c>
      <c r="B1408" s="36">
        <f t="shared" si="84"/>
        <v>8</v>
      </c>
      <c r="C1408" s="191">
        <f t="shared" si="85"/>
        <v>41137</v>
      </c>
      <c r="D1408" s="191" t="s">
        <v>1610</v>
      </c>
      <c r="E1408" s="191">
        <v>41137</v>
      </c>
      <c r="F1408" s="192" t="s">
        <v>555</v>
      </c>
      <c r="G1408" s="490" t="s">
        <v>1054</v>
      </c>
      <c r="H1408" s="193" t="s">
        <v>873</v>
      </c>
      <c r="I1408" s="252"/>
      <c r="J1408" s="252"/>
      <c r="K1408" s="38">
        <v>5097390</v>
      </c>
      <c r="L1408" s="194" t="s">
        <v>284</v>
      </c>
      <c r="M1408" s="194" t="s">
        <v>495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30" ht="15.75" customHeight="1">
      <c r="A1409" s="204" t="str">
        <f>IF(B1409&lt;&gt;"",IF(AND(B1409&gt;=_TM1,B1409&lt;=_TM2,OR(TH!L1409="1111",TH!M1409="1111")),TH!D1409,""),"")</f>
        <v/>
      </c>
      <c r="B1409" s="36">
        <f t="shared" si="84"/>
        <v>8</v>
      </c>
      <c r="C1409" s="191">
        <v>41139</v>
      </c>
      <c r="D1409" s="191" t="s">
        <v>1665</v>
      </c>
      <c r="E1409" s="191">
        <v>41139</v>
      </c>
      <c r="F1409" s="192" t="s">
        <v>396</v>
      </c>
      <c r="G1409" s="490" t="s">
        <v>361</v>
      </c>
      <c r="H1409" s="193" t="s">
        <v>684</v>
      </c>
      <c r="I1409" s="252"/>
      <c r="J1409" s="252"/>
      <c r="K1409" s="38">
        <v>12500000</v>
      </c>
      <c r="L1409" s="194" t="s">
        <v>24</v>
      </c>
      <c r="M1409" s="194" t="s">
        <v>48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>x</v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30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84"/>
        <v>8</v>
      </c>
      <c r="C1410" s="191">
        <v>41139</v>
      </c>
      <c r="D1410" s="191" t="s">
        <v>483</v>
      </c>
      <c r="E1410" s="191">
        <v>41139</v>
      </c>
      <c r="F1410" s="192" t="s">
        <v>1355</v>
      </c>
      <c r="G1410" s="490" t="s">
        <v>855</v>
      </c>
      <c r="H1410" s="7" t="s">
        <v>436</v>
      </c>
      <c r="I1410" s="252">
        <v>200</v>
      </c>
      <c r="J1410" s="252">
        <v>18314</v>
      </c>
      <c r="K1410" s="38">
        <v>3662800</v>
      </c>
      <c r="L1410" s="194" t="s">
        <v>169</v>
      </c>
      <c r="M1410" s="616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198"/>
      <c r="AB1410" s="606"/>
      <c r="AC1410" s="198"/>
      <c r="AD1410" s="198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84"/>
        <v>8</v>
      </c>
      <c r="C1411" s="191">
        <v>41139</v>
      </c>
      <c r="D1411" s="191" t="s">
        <v>483</v>
      </c>
      <c r="E1411" s="191">
        <v>41139</v>
      </c>
      <c r="F1411" s="192" t="s">
        <v>1356</v>
      </c>
      <c r="G1411" s="490" t="s">
        <v>855</v>
      </c>
      <c r="H1411" s="7" t="s">
        <v>436</v>
      </c>
      <c r="I1411" s="252">
        <v>50</v>
      </c>
      <c r="J1411" s="252">
        <v>12635</v>
      </c>
      <c r="K1411" s="38">
        <v>631750</v>
      </c>
      <c r="L1411" s="194" t="s">
        <v>169</v>
      </c>
      <c r="M1411" s="616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198"/>
      <c r="AB1411" s="606"/>
      <c r="AC1411" s="198"/>
      <c r="AD1411" s="198"/>
    </row>
    <row r="1412" spans="1:30" ht="15.75" customHeight="1">
      <c r="A1412" s="204" t="str">
        <f>IF(B1412&lt;&gt;"",IF(AND(B1412&gt;=_TM1,B1412&lt;=_TM2,OR(TH!L1412="1111",TH!M1412="1111")),TH!D1412,""),"")</f>
        <v/>
      </c>
      <c r="B1412" s="36">
        <f t="shared" si="84"/>
        <v>8</v>
      </c>
      <c r="C1412" s="191">
        <v>41139</v>
      </c>
      <c r="D1412" s="191" t="s">
        <v>483</v>
      </c>
      <c r="E1412" s="191">
        <v>41139</v>
      </c>
      <c r="F1412" s="192" t="s">
        <v>1289</v>
      </c>
      <c r="G1412" s="490" t="s">
        <v>855</v>
      </c>
      <c r="H1412" s="7" t="s">
        <v>436</v>
      </c>
      <c r="I1412" s="252">
        <v>1520</v>
      </c>
      <c r="J1412" s="252">
        <v>23149</v>
      </c>
      <c r="K1412" s="38">
        <v>35186480</v>
      </c>
      <c r="L1412" s="194" t="s">
        <v>169</v>
      </c>
      <c r="M1412" s="616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B1412" s="606"/>
    </row>
    <row r="1413" spans="1:30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84"/>
        <v>8</v>
      </c>
      <c r="C1413" s="191">
        <v>41139</v>
      </c>
      <c r="D1413" s="191" t="s">
        <v>483</v>
      </c>
      <c r="E1413" s="191">
        <v>41139</v>
      </c>
      <c r="F1413" s="192" t="s">
        <v>566</v>
      </c>
      <c r="G1413" s="490" t="s">
        <v>855</v>
      </c>
      <c r="H1413" s="7" t="s">
        <v>436</v>
      </c>
      <c r="I1413" s="252"/>
      <c r="J1413" s="252"/>
      <c r="K1413" s="38">
        <v>3948103</v>
      </c>
      <c r="L1413" s="194" t="s">
        <v>9</v>
      </c>
      <c r="M1413" s="616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198">
        <v>8</v>
      </c>
      <c r="AB1413" s="198"/>
      <c r="AC1413" s="198"/>
      <c r="AD1413" s="198"/>
    </row>
    <row r="1414" spans="1:30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84"/>
        <v>8</v>
      </c>
      <c r="C1414" s="191">
        <v>41141</v>
      </c>
      <c r="D1414" s="191" t="s">
        <v>1667</v>
      </c>
      <c r="E1414" s="191">
        <v>41141</v>
      </c>
      <c r="F1414" s="192" t="s">
        <v>396</v>
      </c>
      <c r="G1414" s="490" t="s">
        <v>361</v>
      </c>
      <c r="H1414" s="193" t="s">
        <v>684</v>
      </c>
      <c r="I1414" s="252"/>
      <c r="J1414" s="252"/>
      <c r="K1414" s="38">
        <v>1000000</v>
      </c>
      <c r="L1414" s="194" t="s">
        <v>24</v>
      </c>
      <c r="M1414" s="194" t="s">
        <v>48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>x</v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198"/>
      <c r="AB1414" s="198"/>
      <c r="AC1414" s="198"/>
      <c r="AD1414" s="198"/>
    </row>
    <row r="1415" spans="1:30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84"/>
        <v>8</v>
      </c>
      <c r="C1415" s="191">
        <v>41141</v>
      </c>
      <c r="D1415" s="191" t="s">
        <v>1668</v>
      </c>
      <c r="E1415" s="191">
        <v>41141</v>
      </c>
      <c r="F1415" s="192" t="s">
        <v>571</v>
      </c>
      <c r="G1415" s="192" t="s">
        <v>856</v>
      </c>
      <c r="H1415" s="193" t="s">
        <v>573</v>
      </c>
      <c r="I1415" s="252"/>
      <c r="J1415" s="252"/>
      <c r="K1415" s="38">
        <v>1694703</v>
      </c>
      <c r="L1415" s="194" t="s">
        <v>84</v>
      </c>
      <c r="M1415" s="194" t="s">
        <v>48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84"/>
        <v>8</v>
      </c>
      <c r="C1416" s="191">
        <v>41141</v>
      </c>
      <c r="D1416" s="191" t="s">
        <v>1668</v>
      </c>
      <c r="E1416" s="191">
        <v>41141</v>
      </c>
      <c r="F1416" s="192" t="s">
        <v>574</v>
      </c>
      <c r="G1416" s="192" t="s">
        <v>856</v>
      </c>
      <c r="H1416" s="193" t="s">
        <v>573</v>
      </c>
      <c r="I1416" s="252"/>
      <c r="J1416" s="252"/>
      <c r="K1416" s="38">
        <v>169470</v>
      </c>
      <c r="L1416" s="194" t="s">
        <v>9</v>
      </c>
      <c r="M1416" s="194" t="s">
        <v>48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198">
        <v>8</v>
      </c>
      <c r="AB1416" s="198"/>
      <c r="AC1416" s="198"/>
      <c r="AD1416" s="198"/>
    </row>
    <row r="1417" spans="1:30" ht="15.75" customHeight="1">
      <c r="A1417" s="204" t="str">
        <f>IF(B1417&lt;&gt;"",IF(AND(B1417&gt;=_TM1,B1417&lt;=_TM2,OR(TH!L1417="1111",TH!M1417="1111")),TH!D1417,""),"")</f>
        <v/>
      </c>
      <c r="B1417" s="36">
        <f t="shared" si="84"/>
        <v>8</v>
      </c>
      <c r="C1417" s="191">
        <v>41142</v>
      </c>
      <c r="D1417" s="191" t="s">
        <v>363</v>
      </c>
      <c r="E1417" s="191">
        <v>41142</v>
      </c>
      <c r="F1417" s="192" t="s">
        <v>365</v>
      </c>
      <c r="G1417" s="490" t="s">
        <v>361</v>
      </c>
      <c r="H1417" s="193" t="s">
        <v>857</v>
      </c>
      <c r="I1417" s="252"/>
      <c r="J1417" s="252"/>
      <c r="K1417" s="38">
        <v>5869600</v>
      </c>
      <c r="L1417" s="194" t="s">
        <v>24</v>
      </c>
      <c r="M1417" s="194" t="s">
        <v>284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>x</v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30" ht="15.75" customHeight="1">
      <c r="A1418" s="204" t="str">
        <f>IF(B1418&lt;&gt;"",IF(AND(B1418&gt;=_TM1,B1418&lt;=_TM2,OR(TH!L1418="1111",TH!M1418="1111")),TH!D1418,""),"")</f>
        <v/>
      </c>
      <c r="B1418" s="36">
        <f t="shared" si="84"/>
        <v>8</v>
      </c>
      <c r="C1418" s="191">
        <v>41142</v>
      </c>
      <c r="D1418" s="191" t="s">
        <v>364</v>
      </c>
      <c r="E1418" s="191">
        <v>41142</v>
      </c>
      <c r="F1418" s="192" t="s">
        <v>400</v>
      </c>
      <c r="G1418" s="490" t="s">
        <v>361</v>
      </c>
      <c r="H1418" s="7" t="s">
        <v>436</v>
      </c>
      <c r="I1418" s="252"/>
      <c r="J1418" s="252"/>
      <c r="K1418" s="38">
        <v>40000000</v>
      </c>
      <c r="L1418" s="616" t="s">
        <v>8</v>
      </c>
      <c r="M1418" s="194" t="s">
        <v>24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>x</v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30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84"/>
        <v>8</v>
      </c>
      <c r="C1419" s="191">
        <v>41142</v>
      </c>
      <c r="D1419" s="191" t="s">
        <v>364</v>
      </c>
      <c r="E1419" s="191">
        <v>41142</v>
      </c>
      <c r="F1419" s="192" t="s">
        <v>366</v>
      </c>
      <c r="G1419" s="490" t="s">
        <v>361</v>
      </c>
      <c r="H1419" s="193"/>
      <c r="I1419" s="252"/>
      <c r="J1419" s="252"/>
      <c r="K1419" s="38">
        <v>10000</v>
      </c>
      <c r="L1419" s="194" t="s">
        <v>84</v>
      </c>
      <c r="M1419" s="194" t="s">
        <v>24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>x</v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/>
      <c r="AB1419" s="198"/>
      <c r="AC1419" s="198"/>
      <c r="AD1419" s="198"/>
    </row>
    <row r="1420" spans="1:30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84"/>
        <v>8</v>
      </c>
      <c r="C1420" s="191">
        <v>41143</v>
      </c>
      <c r="D1420" s="191" t="s">
        <v>1672</v>
      </c>
      <c r="E1420" s="191">
        <v>41143</v>
      </c>
      <c r="F1420" s="192" t="s">
        <v>858</v>
      </c>
      <c r="G1420" s="490" t="s">
        <v>859</v>
      </c>
      <c r="H1420" s="193" t="s">
        <v>401</v>
      </c>
      <c r="I1420" s="252"/>
      <c r="J1420" s="252"/>
      <c r="K1420" s="38">
        <v>1240000</v>
      </c>
      <c r="L1420" s="194" t="s">
        <v>175</v>
      </c>
      <c r="M1420" s="194" t="s">
        <v>48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198"/>
      <c r="AB1420" s="198"/>
      <c r="AC1420" s="198"/>
      <c r="AD1420" s="198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4"/>
        <v>8</v>
      </c>
      <c r="C1421" s="191">
        <v>41143</v>
      </c>
      <c r="D1421" s="191" t="s">
        <v>1672</v>
      </c>
      <c r="E1421" s="191">
        <v>41143</v>
      </c>
      <c r="F1421" s="192" t="s">
        <v>372</v>
      </c>
      <c r="G1421" s="490" t="s">
        <v>859</v>
      </c>
      <c r="H1421" s="193" t="s">
        <v>401</v>
      </c>
      <c r="I1421" s="252"/>
      <c r="J1421" s="252"/>
      <c r="K1421" s="38">
        <v>124000</v>
      </c>
      <c r="L1421" s="194" t="s">
        <v>9</v>
      </c>
      <c r="M1421" s="194" t="s">
        <v>48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198">
        <v>8</v>
      </c>
      <c r="AB1421" s="198"/>
      <c r="AC1421" s="198"/>
      <c r="AD1421" s="198"/>
    </row>
    <row r="1422" spans="1:30" ht="15.75" customHeight="1">
      <c r="A1422" s="204" t="str">
        <f>IF(B1422&lt;&gt;"",IF(AND(B1422&gt;=_TM1,B1422&lt;=_TM2,OR(TH!L1422="1111",TH!M1422="1111")),TH!D1422,""),"")</f>
        <v/>
      </c>
      <c r="B1422" s="36">
        <f t="shared" si="84"/>
        <v>8</v>
      </c>
      <c r="C1422" s="191">
        <v>41144</v>
      </c>
      <c r="D1422" s="191" t="s">
        <v>484</v>
      </c>
      <c r="E1422" s="191">
        <v>41144</v>
      </c>
      <c r="F1422" s="192" t="s">
        <v>1339</v>
      </c>
      <c r="G1422" s="490" t="s">
        <v>860</v>
      </c>
      <c r="H1422" s="7" t="s">
        <v>436</v>
      </c>
      <c r="I1422" s="252">
        <v>500</v>
      </c>
      <c r="J1422" s="252">
        <v>13999</v>
      </c>
      <c r="K1422" s="38">
        <v>6999500</v>
      </c>
      <c r="L1422" s="194" t="s">
        <v>169</v>
      </c>
      <c r="M1422" s="616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6"/>
    </row>
    <row r="1423" spans="1:30" ht="15.75" customHeight="1">
      <c r="A1423" s="204" t="str">
        <f>IF(B1423&lt;&gt;"",IF(AND(B1423&gt;=_TM1,B1423&lt;=_TM2,OR(TH!L1423="1111",TH!M1423="1111")),TH!D1423,""),"")</f>
        <v/>
      </c>
      <c r="B1423" s="36">
        <f t="shared" si="84"/>
        <v>8</v>
      </c>
      <c r="C1423" s="191">
        <v>41144</v>
      </c>
      <c r="D1423" s="191" t="s">
        <v>484</v>
      </c>
      <c r="E1423" s="191">
        <v>41144</v>
      </c>
      <c r="F1423" s="192" t="s">
        <v>1346</v>
      </c>
      <c r="G1423" s="490" t="s">
        <v>860</v>
      </c>
      <c r="H1423" s="7" t="s">
        <v>436</v>
      </c>
      <c r="I1423" s="252">
        <v>1000</v>
      </c>
      <c r="J1423" s="252">
        <v>34944</v>
      </c>
      <c r="K1423" s="38">
        <v>34944000</v>
      </c>
      <c r="L1423" s="194" t="s">
        <v>169</v>
      </c>
      <c r="M1423" s="616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B1423" s="606"/>
    </row>
    <row r="1424" spans="1:30" ht="15.75" customHeight="1">
      <c r="A1424" s="204" t="str">
        <f>IF(B1424&lt;&gt;"",IF(AND(B1424&gt;=_TM1,B1424&lt;=_TM2,OR(TH!L1424="1111",TH!M1424="1111")),TH!D1424,""),"")</f>
        <v/>
      </c>
      <c r="B1424" s="36">
        <f t="shared" si="84"/>
        <v>8</v>
      </c>
      <c r="C1424" s="191">
        <v>41144</v>
      </c>
      <c r="D1424" s="191" t="s">
        <v>484</v>
      </c>
      <c r="E1424" s="191">
        <v>41144</v>
      </c>
      <c r="F1424" s="192" t="s">
        <v>1298</v>
      </c>
      <c r="G1424" s="490" t="s">
        <v>860</v>
      </c>
      <c r="H1424" s="7" t="s">
        <v>436</v>
      </c>
      <c r="I1424" s="252">
        <v>1000</v>
      </c>
      <c r="J1424" s="252">
        <v>18306</v>
      </c>
      <c r="K1424" s="38">
        <v>18306000</v>
      </c>
      <c r="L1424" s="194" t="s">
        <v>169</v>
      </c>
      <c r="M1424" s="616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B1424" s="606"/>
    </row>
    <row r="1425" spans="1:30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84"/>
        <v>8</v>
      </c>
      <c r="C1425" s="191">
        <v>41144</v>
      </c>
      <c r="D1425" s="191" t="s">
        <v>484</v>
      </c>
      <c r="E1425" s="191">
        <v>41144</v>
      </c>
      <c r="F1425" s="192" t="s">
        <v>566</v>
      </c>
      <c r="G1425" s="490" t="s">
        <v>860</v>
      </c>
      <c r="H1425" s="7" t="s">
        <v>436</v>
      </c>
      <c r="I1425" s="252"/>
      <c r="J1425" s="252"/>
      <c r="K1425" s="38">
        <v>6024950</v>
      </c>
      <c r="L1425" s="194" t="s">
        <v>9</v>
      </c>
      <c r="M1425" s="616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>
        <v>8</v>
      </c>
      <c r="AB1425" s="198"/>
      <c r="AC1425" s="198"/>
      <c r="AD1425" s="198"/>
    </row>
    <row r="1426" spans="1:30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84"/>
        <v>8</v>
      </c>
      <c r="C1426" s="191">
        <v>41145</v>
      </c>
      <c r="D1426" s="191" t="s">
        <v>485</v>
      </c>
      <c r="E1426" s="191">
        <v>41145</v>
      </c>
      <c r="F1426" s="192" t="s">
        <v>1289</v>
      </c>
      <c r="G1426" s="490" t="s">
        <v>861</v>
      </c>
      <c r="H1426" s="7" t="s">
        <v>436</v>
      </c>
      <c r="I1426" s="252">
        <v>2000</v>
      </c>
      <c r="J1426" s="252">
        <v>23149</v>
      </c>
      <c r="K1426" s="38">
        <v>46298000</v>
      </c>
      <c r="L1426" s="194" t="s">
        <v>169</v>
      </c>
      <c r="M1426" s="616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606"/>
      <c r="AC1426" s="198"/>
      <c r="AD1426" s="198"/>
    </row>
    <row r="1427" spans="1:30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84"/>
        <v>8</v>
      </c>
      <c r="C1427" s="191">
        <v>41145</v>
      </c>
      <c r="D1427" s="191" t="s">
        <v>485</v>
      </c>
      <c r="E1427" s="191">
        <v>41145</v>
      </c>
      <c r="F1427" s="192" t="s">
        <v>566</v>
      </c>
      <c r="G1427" s="490" t="s">
        <v>861</v>
      </c>
      <c r="H1427" s="7" t="s">
        <v>436</v>
      </c>
      <c r="I1427" s="252"/>
      <c r="J1427" s="252"/>
      <c r="K1427" s="38">
        <v>4629800</v>
      </c>
      <c r="L1427" s="194" t="s">
        <v>9</v>
      </c>
      <c r="M1427" s="616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>
        <v>8</v>
      </c>
      <c r="AB1427" s="198"/>
      <c r="AC1427" s="198"/>
      <c r="AD1427" s="198"/>
    </row>
    <row r="1428" spans="1:30" ht="15.75" customHeight="1">
      <c r="A1428" s="204" t="str">
        <f>IF(B1428&lt;&gt;"",IF(AND(B1428&gt;=_TM1,B1428&lt;=_TM2,OR(TH!L1428="1111",TH!M1428="1111")),TH!D1428,""),"")</f>
        <v/>
      </c>
      <c r="B1428" s="36">
        <f t="shared" si="84"/>
        <v>8</v>
      </c>
      <c r="C1428" s="191">
        <v>41146</v>
      </c>
      <c r="D1428" s="191" t="s">
        <v>363</v>
      </c>
      <c r="E1428" s="191">
        <v>41146</v>
      </c>
      <c r="F1428" s="192" t="s">
        <v>398</v>
      </c>
      <c r="G1428" s="490" t="s">
        <v>361</v>
      </c>
      <c r="H1428" s="45"/>
      <c r="I1428" s="252"/>
      <c r="J1428" s="252"/>
      <c r="K1428" s="38">
        <v>39945</v>
      </c>
      <c r="L1428" s="194" t="s">
        <v>24</v>
      </c>
      <c r="M1428" s="194" t="s">
        <v>40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>x</v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30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ref="B1429:B1492" si="86">IF(C1429&lt;&gt;"",MONTH(C1429),"")</f>
        <v>8</v>
      </c>
      <c r="C1429" s="191">
        <v>41146</v>
      </c>
      <c r="D1429" s="191" t="s">
        <v>486</v>
      </c>
      <c r="E1429" s="191">
        <v>41146</v>
      </c>
      <c r="F1429" s="192" t="s">
        <v>1291</v>
      </c>
      <c r="G1429" s="490" t="s">
        <v>862</v>
      </c>
      <c r="H1429" s="7" t="s">
        <v>436</v>
      </c>
      <c r="I1429" s="252">
        <v>150</v>
      </c>
      <c r="J1429" s="252">
        <v>27900</v>
      </c>
      <c r="K1429" s="38">
        <v>4185000</v>
      </c>
      <c r="L1429" s="194" t="s">
        <v>169</v>
      </c>
      <c r="M1429" s="616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/>
      <c r="AB1429" s="606"/>
      <c r="AC1429" s="198"/>
      <c r="AD1429" s="198"/>
    </row>
    <row r="1430" spans="1:30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41146</v>
      </c>
      <c r="D1430" s="191" t="s">
        <v>486</v>
      </c>
      <c r="E1430" s="191">
        <v>41146</v>
      </c>
      <c r="F1430" s="192" t="s">
        <v>1357</v>
      </c>
      <c r="G1430" s="490" t="s">
        <v>862</v>
      </c>
      <c r="H1430" s="7" t="s">
        <v>436</v>
      </c>
      <c r="I1430" s="252">
        <v>150</v>
      </c>
      <c r="J1430" s="252">
        <v>22800</v>
      </c>
      <c r="K1430" s="38">
        <v>3420000</v>
      </c>
      <c r="L1430" s="194" t="s">
        <v>169</v>
      </c>
      <c r="M1430" s="616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6"/>
      <c r="AC1430" s="198"/>
      <c r="AD1430" s="198"/>
    </row>
    <row r="1431" spans="1:30" ht="15.75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41146</v>
      </c>
      <c r="D1431" s="191" t="s">
        <v>486</v>
      </c>
      <c r="E1431" s="191">
        <v>41146</v>
      </c>
      <c r="F1431" s="192" t="s">
        <v>566</v>
      </c>
      <c r="G1431" s="490" t="s">
        <v>862</v>
      </c>
      <c r="H1431" s="7" t="s">
        <v>436</v>
      </c>
      <c r="I1431" s="252"/>
      <c r="J1431" s="252"/>
      <c r="K1431" s="38">
        <v>760500</v>
      </c>
      <c r="L1431" s="194" t="s">
        <v>9</v>
      </c>
      <c r="M1431" s="616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>
        <v>8</v>
      </c>
    </row>
    <row r="1432" spans="1:30" ht="15.75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41146</v>
      </c>
      <c r="D1432" s="191" t="s">
        <v>1673</v>
      </c>
      <c r="E1432" s="191">
        <v>41146</v>
      </c>
      <c r="F1432" s="192" t="s">
        <v>400</v>
      </c>
      <c r="G1432" s="490" t="s">
        <v>862</v>
      </c>
      <c r="H1432" s="7" t="s">
        <v>436</v>
      </c>
      <c r="I1432" s="252"/>
      <c r="J1432" s="252"/>
      <c r="K1432" s="38">
        <v>8365500</v>
      </c>
      <c r="L1432" s="616" t="s">
        <v>8</v>
      </c>
      <c r="M1432" s="616" t="s">
        <v>48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30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41148</v>
      </c>
      <c r="D1433" s="191" t="s">
        <v>487</v>
      </c>
      <c r="E1433" s="191">
        <v>41148</v>
      </c>
      <c r="F1433" s="192" t="s">
        <v>1358</v>
      </c>
      <c r="G1433" s="490" t="s">
        <v>863</v>
      </c>
      <c r="H1433" s="7" t="s">
        <v>436</v>
      </c>
      <c r="I1433" s="252">
        <v>500</v>
      </c>
      <c r="J1433" s="252">
        <v>18746</v>
      </c>
      <c r="K1433" s="38">
        <v>9373000</v>
      </c>
      <c r="L1433" s="194" t="s">
        <v>169</v>
      </c>
      <c r="M1433" s="616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606"/>
      <c r="AC1433" s="198"/>
      <c r="AD1433" s="198"/>
    </row>
    <row r="1434" spans="1:30" ht="15.75" customHeight="1">
      <c r="A1434" s="204" t="str">
        <f>IF(B1434&lt;&gt;"",IF(AND(B1434&gt;=_TM1,B1434&lt;=_TM2,OR(TH!L1434="1111",TH!M1434="1111")),TH!D1434,""),"")</f>
        <v/>
      </c>
      <c r="B1434" s="36">
        <f t="shared" si="86"/>
        <v>8</v>
      </c>
      <c r="C1434" s="191">
        <v>41148</v>
      </c>
      <c r="D1434" s="191" t="s">
        <v>487</v>
      </c>
      <c r="E1434" s="191">
        <v>41148</v>
      </c>
      <c r="F1434" s="192" t="s">
        <v>1341</v>
      </c>
      <c r="G1434" s="192" t="s">
        <v>863</v>
      </c>
      <c r="H1434" s="7" t="s">
        <v>436</v>
      </c>
      <c r="I1434" s="252">
        <v>210</v>
      </c>
      <c r="J1434" s="252">
        <v>13971</v>
      </c>
      <c r="K1434" s="38">
        <v>2933910</v>
      </c>
      <c r="L1434" s="194" t="s">
        <v>169</v>
      </c>
      <c r="M1434" s="616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B1434" s="606"/>
    </row>
    <row r="1435" spans="1:30" ht="15.75" customHeight="1">
      <c r="A1435" s="204" t="str">
        <f>IF(B1435&lt;&gt;"",IF(AND(B1435&gt;=_TM1,B1435&lt;=_TM2,OR(TH!L1435="1111",TH!M1435="1111")),TH!D1435,""),"")</f>
        <v/>
      </c>
      <c r="B1435" s="36">
        <f t="shared" si="86"/>
        <v>8</v>
      </c>
      <c r="C1435" s="191">
        <v>41148</v>
      </c>
      <c r="D1435" s="191" t="s">
        <v>487</v>
      </c>
      <c r="E1435" s="191">
        <v>41148</v>
      </c>
      <c r="F1435" s="192" t="s">
        <v>566</v>
      </c>
      <c r="G1435" s="192" t="s">
        <v>863</v>
      </c>
      <c r="H1435" s="7" t="s">
        <v>436</v>
      </c>
      <c r="I1435" s="252"/>
      <c r="J1435" s="252"/>
      <c r="K1435" s="38">
        <v>1230691</v>
      </c>
      <c r="L1435" s="194" t="s">
        <v>9</v>
      </c>
      <c r="M1435" s="616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>
        <v>8</v>
      </c>
    </row>
    <row r="1436" spans="1:30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86"/>
        <v>8</v>
      </c>
      <c r="C1436" s="191">
        <v>41148</v>
      </c>
      <c r="D1436" s="191" t="s">
        <v>1674</v>
      </c>
      <c r="E1436" s="191">
        <v>41148</v>
      </c>
      <c r="F1436" s="192" t="s">
        <v>400</v>
      </c>
      <c r="G1436" s="192" t="s">
        <v>863</v>
      </c>
      <c r="H1436" s="7" t="s">
        <v>436</v>
      </c>
      <c r="I1436" s="252"/>
      <c r="J1436" s="252"/>
      <c r="K1436" s="38">
        <v>13537601</v>
      </c>
      <c r="L1436" s="616" t="s">
        <v>8</v>
      </c>
      <c r="M1436" s="616" t="s">
        <v>48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86"/>
        <v>8</v>
      </c>
      <c r="C1437" s="191">
        <v>41149</v>
      </c>
      <c r="D1437" s="191" t="s">
        <v>1688</v>
      </c>
      <c r="E1437" s="191">
        <v>41149</v>
      </c>
      <c r="F1437" s="192" t="s">
        <v>396</v>
      </c>
      <c r="G1437" s="192" t="s">
        <v>361</v>
      </c>
      <c r="H1437" s="193" t="s">
        <v>684</v>
      </c>
      <c r="I1437" s="252"/>
      <c r="J1437" s="252"/>
      <c r="K1437" s="38">
        <v>20000000</v>
      </c>
      <c r="L1437" s="194" t="s">
        <v>24</v>
      </c>
      <c r="M1437" s="194" t="s">
        <v>48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>x</v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86"/>
        <v>8</v>
      </c>
      <c r="C1438" s="191">
        <v>41149</v>
      </c>
      <c r="D1438" s="191" t="s">
        <v>1688</v>
      </c>
      <c r="E1438" s="191">
        <v>41149</v>
      </c>
      <c r="F1438" s="192" t="s">
        <v>396</v>
      </c>
      <c r="G1438" s="192" t="s">
        <v>361</v>
      </c>
      <c r="H1438" s="193" t="s">
        <v>684</v>
      </c>
      <c r="I1438" s="252"/>
      <c r="J1438" s="252"/>
      <c r="K1438" s="38">
        <v>8000000</v>
      </c>
      <c r="L1438" s="194" t="s">
        <v>24</v>
      </c>
      <c r="M1438" s="194" t="s">
        <v>48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>x</v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/>
      <c r="AB1438" s="198"/>
      <c r="AC1438" s="198"/>
      <c r="AD1438" s="198"/>
    </row>
    <row r="1439" spans="1:30" ht="15.75" customHeight="1">
      <c r="A1439" s="204" t="str">
        <f>IF(B1439&lt;&gt;"",IF(AND(B1439&gt;=_TM1,B1439&lt;=_TM2,OR(TH!L1439="1111",TH!M1439="1111")),TH!D1439,""),"")</f>
        <v/>
      </c>
      <c r="B1439" s="36">
        <f t="shared" si="86"/>
        <v>8</v>
      </c>
      <c r="C1439" s="191">
        <v>41150</v>
      </c>
      <c r="D1439" s="191" t="s">
        <v>488</v>
      </c>
      <c r="E1439" s="191">
        <v>41150</v>
      </c>
      <c r="F1439" s="192" t="s">
        <v>1409</v>
      </c>
      <c r="G1439" s="192" t="s">
        <v>864</v>
      </c>
      <c r="H1439" s="7" t="s">
        <v>436</v>
      </c>
      <c r="I1439" s="252">
        <v>250</v>
      </c>
      <c r="J1439" s="252">
        <v>8505</v>
      </c>
      <c r="K1439" s="38">
        <v>2126250</v>
      </c>
      <c r="L1439" s="194" t="s">
        <v>169</v>
      </c>
      <c r="M1439" s="616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B1439" s="606"/>
    </row>
    <row r="1440" spans="1:30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86"/>
        <v>8</v>
      </c>
      <c r="C1440" s="191">
        <v>41150</v>
      </c>
      <c r="D1440" s="191" t="s">
        <v>488</v>
      </c>
      <c r="E1440" s="191">
        <v>41150</v>
      </c>
      <c r="F1440" s="192" t="s">
        <v>1455</v>
      </c>
      <c r="G1440" s="192" t="s">
        <v>864</v>
      </c>
      <c r="H1440" s="7" t="s">
        <v>436</v>
      </c>
      <c r="I1440" s="254">
        <v>350</v>
      </c>
      <c r="J1440" s="254">
        <v>13507</v>
      </c>
      <c r="K1440" s="38">
        <v>4727450</v>
      </c>
      <c r="L1440" s="194" t="s">
        <v>169</v>
      </c>
      <c r="M1440" s="616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606"/>
      <c r="AC1440" s="198"/>
      <c r="AD1440" s="198"/>
    </row>
    <row r="1441" spans="1:30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86"/>
        <v>8</v>
      </c>
      <c r="C1441" s="191">
        <v>41150</v>
      </c>
      <c r="D1441" s="191" t="s">
        <v>488</v>
      </c>
      <c r="E1441" s="191">
        <v>41150</v>
      </c>
      <c r="F1441" s="192" t="s">
        <v>1467</v>
      </c>
      <c r="G1441" s="192" t="s">
        <v>864</v>
      </c>
      <c r="H1441" s="7" t="s">
        <v>436</v>
      </c>
      <c r="I1441" s="252">
        <v>350</v>
      </c>
      <c r="J1441" s="252">
        <v>19499</v>
      </c>
      <c r="K1441" s="38">
        <v>6824650</v>
      </c>
      <c r="L1441" s="194" t="s">
        <v>169</v>
      </c>
      <c r="M1441" s="616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6"/>
      <c r="AC1441" s="198"/>
      <c r="AD1441" s="198"/>
    </row>
    <row r="1442" spans="1:30" ht="15.75" customHeight="1">
      <c r="A1442" s="204" t="str">
        <f>IF(B1442&lt;&gt;"",IF(AND(B1442&gt;=_TM1,B1442&lt;=_TM2,OR(TH!L1442="1111",TH!M1442="1111")),TH!D1442,""),"")</f>
        <v/>
      </c>
      <c r="B1442" s="36">
        <f t="shared" si="86"/>
        <v>8</v>
      </c>
      <c r="C1442" s="191">
        <v>41150</v>
      </c>
      <c r="D1442" s="191" t="s">
        <v>488</v>
      </c>
      <c r="E1442" s="191">
        <v>41150</v>
      </c>
      <c r="F1442" s="192" t="s">
        <v>1350</v>
      </c>
      <c r="G1442" s="192" t="s">
        <v>864</v>
      </c>
      <c r="H1442" s="7" t="s">
        <v>436</v>
      </c>
      <c r="I1442" s="252">
        <v>200</v>
      </c>
      <c r="J1442" s="252">
        <v>20992</v>
      </c>
      <c r="K1442" s="38">
        <v>4198400</v>
      </c>
      <c r="L1442" s="194" t="s">
        <v>169</v>
      </c>
      <c r="M1442" s="616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B1442" s="606"/>
    </row>
    <row r="1443" spans="1:30" ht="15.75" customHeight="1">
      <c r="A1443" s="204" t="str">
        <f>IF(B1443&lt;&gt;"",IF(AND(B1443&gt;=_TM1,B1443&lt;=_TM2,OR(TH!L1443="1111",TH!M1443="1111")),TH!D1443,""),"")</f>
        <v/>
      </c>
      <c r="B1443" s="36">
        <f t="shared" si="86"/>
        <v>8</v>
      </c>
      <c r="C1443" s="191">
        <v>41150</v>
      </c>
      <c r="D1443" s="191" t="s">
        <v>488</v>
      </c>
      <c r="E1443" s="191">
        <v>41150</v>
      </c>
      <c r="F1443" s="192" t="s">
        <v>1359</v>
      </c>
      <c r="G1443" s="192" t="s">
        <v>864</v>
      </c>
      <c r="H1443" s="7" t="s">
        <v>436</v>
      </c>
      <c r="I1443" s="254">
        <v>100</v>
      </c>
      <c r="J1443" s="254">
        <v>5783</v>
      </c>
      <c r="K1443" s="38">
        <v>578300</v>
      </c>
      <c r="L1443" s="194" t="s">
        <v>169</v>
      </c>
      <c r="M1443" s="616" t="s">
        <v>8</v>
      </c>
      <c r="N1443" s="52" t="str">
        <f>IF(AND('331-CT'!$E$7=TH!H1443,OR(L1443="331",M1443="331")),"331",IF(AND(OR(L1443="131",M1443="131"),H1443='131-CT'!$E$7),"131",""))</f>
        <v>331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B1443" s="606"/>
    </row>
    <row r="1444" spans="1:30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86"/>
        <v>8</v>
      </c>
      <c r="C1444" s="191">
        <v>41150</v>
      </c>
      <c r="D1444" s="191" t="s">
        <v>488</v>
      </c>
      <c r="E1444" s="191">
        <v>41150</v>
      </c>
      <c r="F1444" s="192" t="s">
        <v>1360</v>
      </c>
      <c r="G1444" s="192" t="s">
        <v>864</v>
      </c>
      <c r="H1444" s="7" t="s">
        <v>436</v>
      </c>
      <c r="I1444" s="252">
        <v>100</v>
      </c>
      <c r="J1444" s="252">
        <v>28596</v>
      </c>
      <c r="K1444" s="38">
        <v>2859600</v>
      </c>
      <c r="L1444" s="194" t="s">
        <v>169</v>
      </c>
      <c r="M1444" s="616" t="s">
        <v>8</v>
      </c>
      <c r="N1444" s="52" t="str">
        <f>IF(AND('331-CT'!$E$7=TH!H1444,OR(L1444="331",M1444="331")),"331",IF(AND(OR(L1444="131",M1444="131"),H1444='131-CT'!$E$7),"131",""))</f>
        <v>331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606"/>
      <c r="AC1444" s="198"/>
      <c r="AD1444" s="198"/>
    </row>
    <row r="1445" spans="1:30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86"/>
        <v>8</v>
      </c>
      <c r="C1445" s="191">
        <v>41150</v>
      </c>
      <c r="D1445" s="191" t="s">
        <v>488</v>
      </c>
      <c r="E1445" s="191">
        <v>41150</v>
      </c>
      <c r="F1445" s="192" t="s">
        <v>566</v>
      </c>
      <c r="G1445" s="192" t="s">
        <v>864</v>
      </c>
      <c r="H1445" s="7" t="s">
        <v>436</v>
      </c>
      <c r="I1445" s="252"/>
      <c r="J1445" s="252"/>
      <c r="K1445" s="38">
        <v>2131465</v>
      </c>
      <c r="L1445" s="194" t="s">
        <v>9</v>
      </c>
      <c r="M1445" s="616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>
        <v>8</v>
      </c>
      <c r="AB1445" s="198"/>
      <c r="AC1445" s="198"/>
      <c r="AD1445" s="198"/>
    </row>
    <row r="1446" spans="1:30" ht="15.75" customHeight="1">
      <c r="A1446" s="204" t="str">
        <f>IF(B1446&lt;&gt;"",IF(AND(B1446&gt;=_TM1,B1446&lt;=_TM2,OR(TH!L1446="1111",TH!M1446="1111")),TH!D1446,""),"")</f>
        <v/>
      </c>
      <c r="B1446" s="36">
        <f t="shared" si="86"/>
        <v>8</v>
      </c>
      <c r="C1446" s="191">
        <f t="shared" ref="C1446:C1451" si="87">E1446</f>
        <v>41150</v>
      </c>
      <c r="D1446" s="191" t="s">
        <v>1611</v>
      </c>
      <c r="E1446" s="191">
        <v>41150</v>
      </c>
      <c r="F1446" s="192" t="s">
        <v>1114</v>
      </c>
      <c r="G1446" s="490" t="s">
        <v>1058</v>
      </c>
      <c r="H1446" s="7" t="s">
        <v>500</v>
      </c>
      <c r="I1446" s="252">
        <v>3060</v>
      </c>
      <c r="J1446" s="252">
        <v>13630</v>
      </c>
      <c r="K1446" s="38">
        <f>ROUND(I1446*J1446,0)</f>
        <v>41707800</v>
      </c>
      <c r="L1446" s="194" t="s">
        <v>284</v>
      </c>
      <c r="M1446" s="194" t="s">
        <v>185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211"/>
      <c r="AB1446" s="211"/>
      <c r="AC1446" s="211"/>
      <c r="AD1446" s="211"/>
    </row>
    <row r="1447" spans="1:30" ht="15.75" customHeight="1">
      <c r="A1447" s="204" t="str">
        <f>IF(B1447&lt;&gt;"",IF(AND(B1447&gt;=_TM1,B1447&lt;=_TM2,OR(TH!L1447="1111",TH!M1447="1111")),TH!D1447,""),"")</f>
        <v/>
      </c>
      <c r="B1447" s="36">
        <f t="shared" si="86"/>
        <v>8</v>
      </c>
      <c r="C1447" s="191">
        <f t="shared" si="87"/>
        <v>41150</v>
      </c>
      <c r="D1447" s="191" t="s">
        <v>1611</v>
      </c>
      <c r="E1447" s="191">
        <v>41150</v>
      </c>
      <c r="F1447" s="192" t="s">
        <v>555</v>
      </c>
      <c r="G1447" s="490" t="s">
        <v>1058</v>
      </c>
      <c r="H1447" s="7" t="s">
        <v>500</v>
      </c>
      <c r="I1447" s="252"/>
      <c r="J1447" s="252"/>
      <c r="K1447" s="38">
        <v>4170780</v>
      </c>
      <c r="L1447" s="194" t="s">
        <v>284</v>
      </c>
      <c r="M1447" s="194" t="s">
        <v>495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30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86"/>
        <v>8</v>
      </c>
      <c r="C1448" s="191">
        <f t="shared" si="87"/>
        <v>41150</v>
      </c>
      <c r="D1448" s="191" t="s">
        <v>1612</v>
      </c>
      <c r="E1448" s="191">
        <v>41150</v>
      </c>
      <c r="F1448" s="192" t="s">
        <v>1149</v>
      </c>
      <c r="G1448" s="490" t="s">
        <v>431</v>
      </c>
      <c r="H1448" s="193" t="s">
        <v>1745</v>
      </c>
      <c r="I1448" s="252">
        <v>303</v>
      </c>
      <c r="J1448" s="252">
        <v>16380</v>
      </c>
      <c r="K1448" s="38">
        <f>ROUND(I1448*J1448,0)</f>
        <v>4963140</v>
      </c>
      <c r="L1448" s="194" t="s">
        <v>284</v>
      </c>
      <c r="M1448" s="194" t="s">
        <v>185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30" ht="15.75" customHeight="1">
      <c r="A1449" s="204" t="str">
        <f>IF(B1449&lt;&gt;"",IF(AND(B1449&gt;=_TM1,B1449&lt;=_TM2,OR(TH!L1449="1111",TH!M1449="1111")),TH!D1449,""),"")</f>
        <v/>
      </c>
      <c r="B1449" s="36">
        <f t="shared" si="86"/>
        <v>8</v>
      </c>
      <c r="C1449" s="191">
        <f t="shared" si="87"/>
        <v>41150</v>
      </c>
      <c r="D1449" s="191" t="s">
        <v>1612</v>
      </c>
      <c r="E1449" s="191">
        <v>41150</v>
      </c>
      <c r="F1449" s="192" t="s">
        <v>1148</v>
      </c>
      <c r="G1449" s="490" t="s">
        <v>431</v>
      </c>
      <c r="H1449" s="193" t="s">
        <v>1745</v>
      </c>
      <c r="I1449" s="252">
        <v>303</v>
      </c>
      <c r="J1449" s="252">
        <v>15270</v>
      </c>
      <c r="K1449" s="38">
        <f>ROUND(I1449*J1449,0)</f>
        <v>4626810</v>
      </c>
      <c r="L1449" s="194" t="s">
        <v>284</v>
      </c>
      <c r="M1449" s="194" t="s">
        <v>185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211"/>
      <c r="AB1449" s="211"/>
      <c r="AC1449" s="211"/>
      <c r="AD1449" s="211"/>
    </row>
    <row r="1450" spans="1:30" ht="15.75" customHeight="1">
      <c r="A1450" s="204" t="str">
        <f>IF(B1450&lt;&gt;"",IF(AND(B1450&gt;=_TM1,B1450&lt;=_TM2,OR(TH!L1450="1111",TH!M1450="1111")),TH!D1450,""),"")</f>
        <v/>
      </c>
      <c r="B1450" s="36">
        <f t="shared" si="86"/>
        <v>8</v>
      </c>
      <c r="C1450" s="191">
        <f t="shared" si="87"/>
        <v>41150</v>
      </c>
      <c r="D1450" s="191" t="s">
        <v>1612</v>
      </c>
      <c r="E1450" s="191">
        <v>41150</v>
      </c>
      <c r="F1450" s="192" t="s">
        <v>555</v>
      </c>
      <c r="G1450" s="490" t="s">
        <v>431</v>
      </c>
      <c r="H1450" s="193" t="s">
        <v>1745</v>
      </c>
      <c r="I1450" s="252"/>
      <c r="J1450" s="252"/>
      <c r="K1450" s="38">
        <v>958995</v>
      </c>
      <c r="L1450" s="194" t="s">
        <v>284</v>
      </c>
      <c r="M1450" s="194" t="s">
        <v>495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30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86"/>
        <v>8</v>
      </c>
      <c r="C1451" s="191">
        <f t="shared" si="87"/>
        <v>41150</v>
      </c>
      <c r="D1451" s="191" t="s">
        <v>1649</v>
      </c>
      <c r="E1451" s="191">
        <v>41150</v>
      </c>
      <c r="F1451" s="192" t="s">
        <v>365</v>
      </c>
      <c r="G1451" s="490" t="s">
        <v>431</v>
      </c>
      <c r="H1451" s="193" t="s">
        <v>1745</v>
      </c>
      <c r="I1451" s="252"/>
      <c r="J1451" s="252"/>
      <c r="K1451" s="38">
        <v>10548945</v>
      </c>
      <c r="L1451" s="194" t="s">
        <v>48</v>
      </c>
      <c r="M1451" s="194" t="s">
        <v>284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198"/>
      <c r="AC1451" s="198"/>
      <c r="AD1451" s="198"/>
    </row>
    <row r="1452" spans="1:30" ht="15.75" customHeight="1">
      <c r="A1452" s="204" t="str">
        <f>IF(B1452&lt;&gt;"",IF(AND(B1452&gt;=_TM1,B1452&lt;=_TM2,OR(TH!L1452="1111",TH!M1452="1111")),TH!D1452,""),"")</f>
        <v/>
      </c>
      <c r="B1452" s="36">
        <f t="shared" si="86"/>
        <v>8</v>
      </c>
      <c r="C1452" s="191">
        <v>41151</v>
      </c>
      <c r="D1452" s="191" t="s">
        <v>489</v>
      </c>
      <c r="E1452" s="191">
        <v>41151</v>
      </c>
      <c r="F1452" s="192" t="s">
        <v>1361</v>
      </c>
      <c r="G1452" s="192" t="s">
        <v>865</v>
      </c>
      <c r="H1452" s="7" t="s">
        <v>436</v>
      </c>
      <c r="I1452" s="252">
        <v>750</v>
      </c>
      <c r="J1452" s="252">
        <v>22321</v>
      </c>
      <c r="K1452" s="38">
        <v>16740750</v>
      </c>
      <c r="L1452" s="194" t="s">
        <v>169</v>
      </c>
      <c r="M1452" s="616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6"/>
    </row>
    <row r="1453" spans="1:30" ht="15.75" customHeight="1">
      <c r="A1453" s="204" t="str">
        <f>IF(B1453&lt;&gt;"",IF(AND(B1453&gt;=_TM1,B1453&lt;=_TM2,OR(TH!L1453="1111",TH!M1453="1111")),TH!D1453,""),"")</f>
        <v/>
      </c>
      <c r="B1453" s="36">
        <f t="shared" si="86"/>
        <v>8</v>
      </c>
      <c r="C1453" s="191">
        <v>41151</v>
      </c>
      <c r="D1453" s="191" t="s">
        <v>489</v>
      </c>
      <c r="E1453" s="191">
        <v>41151</v>
      </c>
      <c r="F1453" s="192" t="s">
        <v>1347</v>
      </c>
      <c r="G1453" s="192" t="s">
        <v>865</v>
      </c>
      <c r="H1453" s="7" t="s">
        <v>436</v>
      </c>
      <c r="I1453" s="252">
        <v>130</v>
      </c>
      <c r="J1453" s="252">
        <v>19950</v>
      </c>
      <c r="K1453" s="38">
        <v>2593500</v>
      </c>
      <c r="L1453" s="194" t="s">
        <v>169</v>
      </c>
      <c r="M1453" s="616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B1453" s="606"/>
    </row>
    <row r="1454" spans="1:30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86"/>
        <v>8</v>
      </c>
      <c r="C1454" s="191">
        <v>41151</v>
      </c>
      <c r="D1454" s="191" t="s">
        <v>489</v>
      </c>
      <c r="E1454" s="191">
        <v>41151</v>
      </c>
      <c r="F1454" s="192" t="s">
        <v>1298</v>
      </c>
      <c r="G1454" s="192" t="s">
        <v>865</v>
      </c>
      <c r="H1454" s="7" t="s">
        <v>436</v>
      </c>
      <c r="I1454" s="254">
        <v>555</v>
      </c>
      <c r="J1454" s="254">
        <v>18306</v>
      </c>
      <c r="K1454" s="38">
        <v>10159830</v>
      </c>
      <c r="L1454" s="194" t="s">
        <v>169</v>
      </c>
      <c r="M1454" s="616" t="s">
        <v>8</v>
      </c>
      <c r="N1454" s="52" t="str">
        <f>IF(AND('331-CT'!$E$7=TH!H1454,OR(L1454="331",M1454="331")),"331",IF(AND(OR(L1454="131",M1454="131"),H1454='131-CT'!$E$7),"131",""))</f>
        <v>331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198"/>
      <c r="AB1454" s="606"/>
      <c r="AC1454" s="198"/>
      <c r="AD1454" s="198"/>
    </row>
    <row r="1455" spans="1:30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86"/>
        <v>8</v>
      </c>
      <c r="C1455" s="191">
        <v>41151</v>
      </c>
      <c r="D1455" s="191" t="s">
        <v>489</v>
      </c>
      <c r="E1455" s="191">
        <v>41151</v>
      </c>
      <c r="F1455" s="192" t="s">
        <v>566</v>
      </c>
      <c r="G1455" s="192" t="s">
        <v>865</v>
      </c>
      <c r="H1455" s="7" t="s">
        <v>436</v>
      </c>
      <c r="I1455" s="252"/>
      <c r="J1455" s="252"/>
      <c r="K1455" s="38">
        <v>2949408</v>
      </c>
      <c r="L1455" s="194" t="s">
        <v>9</v>
      </c>
      <c r="M1455" s="616" t="s">
        <v>8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198">
        <v>8</v>
      </c>
      <c r="AB1455" s="198"/>
      <c r="AC1455" s="198"/>
      <c r="AD1455" s="198"/>
    </row>
    <row r="1456" spans="1:30" ht="15.75" customHeight="1">
      <c r="A1456" s="204" t="str">
        <f>IF(B1456&lt;&gt;"",IF(AND(B1456&gt;=_TM1,B1456&lt;=_TM2,OR(TH!L1456="1111",TH!M1456="1111")),TH!D1456,""),"")</f>
        <v/>
      </c>
      <c r="B1456" s="36">
        <f t="shared" si="86"/>
        <v>8</v>
      </c>
      <c r="C1456" s="740">
        <f>E1456</f>
        <v>41152</v>
      </c>
      <c r="D1456" s="740" t="s">
        <v>367</v>
      </c>
      <c r="E1456" s="853">
        <v>41152</v>
      </c>
      <c r="F1456" s="741" t="s">
        <v>1584</v>
      </c>
      <c r="G1456" s="742"/>
      <c r="H1456" s="629"/>
      <c r="I1456" s="487"/>
      <c r="J1456" s="487"/>
      <c r="K1456" s="743">
        <v>9325000</v>
      </c>
      <c r="L1456" s="744" t="s">
        <v>84</v>
      </c>
      <c r="M1456" s="744" t="s">
        <v>287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606"/>
      <c r="AB1456" s="606"/>
      <c r="AC1456" s="606"/>
      <c r="AD1456" s="606"/>
    </row>
    <row r="1457" spans="1:30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86"/>
        <v>8</v>
      </c>
      <c r="C1457" s="740">
        <f>E1457</f>
        <v>41152</v>
      </c>
      <c r="D1457" s="740" t="s">
        <v>367</v>
      </c>
      <c r="E1457" s="853">
        <v>41152</v>
      </c>
      <c r="F1457" s="741" t="s">
        <v>511</v>
      </c>
      <c r="G1457" s="742"/>
      <c r="H1457" s="629"/>
      <c r="I1457" s="487"/>
      <c r="J1457" s="487"/>
      <c r="K1457" s="743">
        <v>13450000</v>
      </c>
      <c r="L1457" s="744" t="s">
        <v>175</v>
      </c>
      <c r="M1457" s="744" t="s">
        <v>287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606"/>
      <c r="AB1457" s="606"/>
      <c r="AC1457" s="606"/>
      <c r="AD1457" s="606"/>
    </row>
    <row r="1458" spans="1:30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86"/>
        <v>8</v>
      </c>
      <c r="C1458" s="740">
        <f>E1458</f>
        <v>41152</v>
      </c>
      <c r="D1458" s="740" t="s">
        <v>1675</v>
      </c>
      <c r="E1458" s="853">
        <v>41152</v>
      </c>
      <c r="F1458" s="741" t="str">
        <f>"Thanh toán tiền lương tháng "&amp;MONTH(E1458)&amp;"/"&amp;YEAR(E1458)</f>
        <v>Thanh toán tiền lương tháng 8/2012</v>
      </c>
      <c r="G1458" s="742"/>
      <c r="H1458" s="45" t="s">
        <v>684</v>
      </c>
      <c r="I1458" s="487"/>
      <c r="J1458" s="487"/>
      <c r="K1458" s="743">
        <f>K1456+K1457</f>
        <v>22775000</v>
      </c>
      <c r="L1458" s="744" t="s">
        <v>287</v>
      </c>
      <c r="M1458" s="744" t="s">
        <v>48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B1458" s="606"/>
      <c r="AC1458" s="606"/>
      <c r="AD1458" s="606"/>
    </row>
    <row r="1459" spans="1:30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86"/>
        <v>8</v>
      </c>
      <c r="C1459" s="191">
        <v>41152</v>
      </c>
      <c r="D1459" s="191" t="s">
        <v>1676</v>
      </c>
      <c r="E1459" s="191">
        <v>41152</v>
      </c>
      <c r="F1459" s="192" t="s">
        <v>396</v>
      </c>
      <c r="G1459" s="192" t="s">
        <v>361</v>
      </c>
      <c r="H1459" s="210" t="s">
        <v>684</v>
      </c>
      <c r="I1459" s="252"/>
      <c r="J1459" s="252"/>
      <c r="K1459" s="38">
        <v>5000000</v>
      </c>
      <c r="L1459" s="194" t="s">
        <v>24</v>
      </c>
      <c r="M1459" s="194" t="s">
        <v>48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>x</v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198"/>
      <c r="AB1459" s="198"/>
      <c r="AC1459" s="198"/>
      <c r="AD1459" s="198"/>
    </row>
    <row r="1460" spans="1:30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86"/>
        <v>8</v>
      </c>
      <c r="C1460" s="191">
        <v>41152</v>
      </c>
      <c r="D1460" s="191" t="s">
        <v>364</v>
      </c>
      <c r="E1460" s="191">
        <v>41152</v>
      </c>
      <c r="F1460" s="192" t="s">
        <v>400</v>
      </c>
      <c r="G1460" s="192" t="s">
        <v>361</v>
      </c>
      <c r="H1460" s="7" t="s">
        <v>436</v>
      </c>
      <c r="I1460" s="252"/>
      <c r="J1460" s="252"/>
      <c r="K1460" s="38">
        <v>9382000</v>
      </c>
      <c r="L1460" s="616" t="s">
        <v>8</v>
      </c>
      <c r="M1460" s="194" t="s">
        <v>24</v>
      </c>
      <c r="N1460" s="52" t="str">
        <f>IF(AND('331-CT'!$E$7=TH!H1460,OR(L1460="331",M1460="331")),"331",IF(AND(OR(L1460="131",M1460="131"),H1460='131-CT'!$E$7),"131",""))</f>
        <v>331</v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>x</v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86"/>
        <v>8</v>
      </c>
      <c r="C1461" s="191">
        <v>41152</v>
      </c>
      <c r="D1461" s="191" t="s">
        <v>364</v>
      </c>
      <c r="E1461" s="191">
        <v>41152</v>
      </c>
      <c r="F1461" s="192" t="s">
        <v>366</v>
      </c>
      <c r="G1461" s="192" t="s">
        <v>361</v>
      </c>
      <c r="H1461" s="7"/>
      <c r="I1461" s="252"/>
      <c r="J1461" s="252"/>
      <c r="K1461" s="38">
        <v>10000</v>
      </c>
      <c r="L1461" s="194" t="s">
        <v>84</v>
      </c>
      <c r="M1461" s="194" t="s">
        <v>24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>x</v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198"/>
      <c r="AB1461" s="198"/>
      <c r="AC1461" s="198"/>
      <c r="AD1461" s="198"/>
    </row>
    <row r="1462" spans="1:30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86"/>
        <v>8</v>
      </c>
      <c r="C1462" s="191">
        <v>41152</v>
      </c>
      <c r="D1462" s="191" t="s">
        <v>364</v>
      </c>
      <c r="E1462" s="191">
        <v>41152</v>
      </c>
      <c r="F1462" s="192" t="s">
        <v>400</v>
      </c>
      <c r="G1462" s="192" t="s">
        <v>361</v>
      </c>
      <c r="H1462" s="7" t="s">
        <v>436</v>
      </c>
      <c r="I1462" s="254"/>
      <c r="J1462" s="254"/>
      <c r="K1462" s="38">
        <v>10000000</v>
      </c>
      <c r="L1462" s="616" t="s">
        <v>8</v>
      </c>
      <c r="M1462" s="194" t="s">
        <v>24</v>
      </c>
      <c r="N1462" s="52" t="str">
        <f>IF(AND('331-CT'!$E$7=TH!H1462,OR(L1462="331",M1462="331")),"331",IF(AND(OR(L1462="131",M1462="131"),H1462='131-CT'!$E$7),"131",""))</f>
        <v>331</v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>x</v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198"/>
      <c r="AB1462" s="198"/>
      <c r="AC1462" s="198"/>
      <c r="AD1462" s="198"/>
    </row>
    <row r="1463" spans="1:30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86"/>
        <v>8</v>
      </c>
      <c r="C1463" s="191">
        <v>41152</v>
      </c>
      <c r="D1463" s="184" t="s">
        <v>364</v>
      </c>
      <c r="E1463" s="184">
        <v>41152</v>
      </c>
      <c r="F1463" s="189" t="s">
        <v>366</v>
      </c>
      <c r="G1463" s="189" t="s">
        <v>361</v>
      </c>
      <c r="H1463" s="193"/>
      <c r="I1463" s="252"/>
      <c r="J1463" s="252"/>
      <c r="K1463" s="615">
        <v>20000</v>
      </c>
      <c r="L1463" s="616" t="s">
        <v>84</v>
      </c>
      <c r="M1463" s="876" t="s">
        <v>24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>x</v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198"/>
      <c r="AB1463" s="198"/>
      <c r="AC1463" s="198"/>
      <c r="AD1463" s="198"/>
    </row>
    <row r="1464" spans="1:30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86"/>
        <v>8</v>
      </c>
      <c r="C1464" s="191">
        <v>41152</v>
      </c>
      <c r="D1464" s="184" t="s">
        <v>1677</v>
      </c>
      <c r="E1464" s="184">
        <v>41152</v>
      </c>
      <c r="F1464" s="189" t="s">
        <v>866</v>
      </c>
      <c r="G1464" s="617" t="s">
        <v>867</v>
      </c>
      <c r="H1464" s="193" t="s">
        <v>401</v>
      </c>
      <c r="I1464" s="252"/>
      <c r="J1464" s="252"/>
      <c r="K1464" s="615">
        <v>1340000</v>
      </c>
      <c r="L1464" s="877" t="s">
        <v>175</v>
      </c>
      <c r="M1464" s="877" t="s">
        <v>48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198"/>
      <c r="AB1464" s="198"/>
      <c r="AC1464" s="198"/>
      <c r="AD1464" s="198"/>
    </row>
    <row r="1465" spans="1:30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86"/>
        <v>8</v>
      </c>
      <c r="C1465" s="191">
        <v>41152</v>
      </c>
      <c r="D1465" s="184" t="s">
        <v>1677</v>
      </c>
      <c r="E1465" s="184">
        <v>41152</v>
      </c>
      <c r="F1465" s="189" t="s">
        <v>372</v>
      </c>
      <c r="G1465" s="189" t="s">
        <v>867</v>
      </c>
      <c r="H1465" s="193" t="s">
        <v>401</v>
      </c>
      <c r="I1465" s="252"/>
      <c r="J1465" s="252"/>
      <c r="K1465" s="615">
        <v>134000</v>
      </c>
      <c r="L1465" s="877" t="s">
        <v>9</v>
      </c>
      <c r="M1465" s="877" t="s">
        <v>48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198">
        <v>8</v>
      </c>
      <c r="AB1465" s="198"/>
      <c r="AC1465" s="198"/>
      <c r="AD1465" s="198"/>
    </row>
    <row r="1466" spans="1:30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86"/>
        <v>8</v>
      </c>
      <c r="C1466" s="191">
        <v>41152</v>
      </c>
      <c r="D1466" s="191" t="s">
        <v>760</v>
      </c>
      <c r="E1466" s="184">
        <v>41152</v>
      </c>
      <c r="F1466" s="189" t="s">
        <v>1298</v>
      </c>
      <c r="G1466" s="189" t="s">
        <v>868</v>
      </c>
      <c r="H1466" s="7" t="s">
        <v>436</v>
      </c>
      <c r="I1466" s="252">
        <v>440</v>
      </c>
      <c r="J1466" s="252">
        <v>18306</v>
      </c>
      <c r="K1466" s="615">
        <v>8054640</v>
      </c>
      <c r="L1466" s="194" t="s">
        <v>169</v>
      </c>
      <c r="M1466" s="616" t="s">
        <v>8</v>
      </c>
      <c r="N1466" s="52" t="str">
        <f>IF(AND('331-CT'!$E$7=TH!H1466,OR(L1466="331",M1466="331")),"331",IF(AND(OR(L1466="131",M1466="131"),H1466='131-CT'!$E$7),"131",""))</f>
        <v>331</v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198"/>
      <c r="AB1466" s="606"/>
      <c r="AC1466" s="198"/>
      <c r="AD1466" s="198"/>
    </row>
    <row r="1467" spans="1:30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86"/>
        <v>8</v>
      </c>
      <c r="C1467" s="191">
        <v>41152</v>
      </c>
      <c r="D1467" s="191" t="s">
        <v>760</v>
      </c>
      <c r="E1467" s="184">
        <v>41152</v>
      </c>
      <c r="F1467" s="189" t="s">
        <v>1296</v>
      </c>
      <c r="G1467" s="617" t="s">
        <v>868</v>
      </c>
      <c r="H1467" s="7" t="s">
        <v>436</v>
      </c>
      <c r="I1467" s="252">
        <v>250</v>
      </c>
      <c r="J1467" s="252">
        <v>17625</v>
      </c>
      <c r="K1467" s="615">
        <v>4406250</v>
      </c>
      <c r="L1467" s="194" t="s">
        <v>169</v>
      </c>
      <c r="M1467" s="616" t="s">
        <v>8</v>
      </c>
      <c r="N1467" s="52" t="str">
        <f>IF(AND('331-CT'!$E$7=TH!H1467,OR(L1467="331",M1467="331")),"331",IF(AND(OR(L1467="131",M1467="131"),H1467='131-CT'!$E$7),"131",""))</f>
        <v>331</v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606"/>
      <c r="AC1467" s="198"/>
      <c r="AD1467" s="198"/>
    </row>
    <row r="1468" spans="1:30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86"/>
        <v>8</v>
      </c>
      <c r="C1468" s="191">
        <v>41152</v>
      </c>
      <c r="D1468" s="191" t="s">
        <v>760</v>
      </c>
      <c r="E1468" s="184">
        <v>41152</v>
      </c>
      <c r="F1468" s="189" t="s">
        <v>566</v>
      </c>
      <c r="G1468" s="189" t="s">
        <v>868</v>
      </c>
      <c r="H1468" s="7" t="s">
        <v>436</v>
      </c>
      <c r="I1468" s="252"/>
      <c r="J1468" s="252"/>
      <c r="K1468" s="615">
        <v>1246089</v>
      </c>
      <c r="L1468" s="877" t="s">
        <v>9</v>
      </c>
      <c r="M1468" s="616" t="s">
        <v>8</v>
      </c>
      <c r="N1468" s="52" t="str">
        <f>IF(AND('331-CT'!$E$7=TH!H1468,OR(L1468="331",M1468="331")),"331",IF(AND(OR(L1468="131",M1468="131"),H1468='131-CT'!$E$7),"131",""))</f>
        <v>331</v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198">
        <v>8</v>
      </c>
      <c r="AB1468" s="198"/>
      <c r="AC1468" s="198"/>
      <c r="AD1468" s="198"/>
    </row>
    <row r="1469" spans="1:30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86"/>
        <v>8</v>
      </c>
      <c r="C1469" s="191">
        <v>41152</v>
      </c>
      <c r="D1469" s="191" t="s">
        <v>1679</v>
      </c>
      <c r="E1469" s="184">
        <v>41152</v>
      </c>
      <c r="F1469" s="189" t="s">
        <v>400</v>
      </c>
      <c r="G1469" s="189" t="s">
        <v>868</v>
      </c>
      <c r="H1469" s="7" t="s">
        <v>436</v>
      </c>
      <c r="I1469" s="252"/>
      <c r="J1469" s="252"/>
      <c r="K1469" s="615">
        <v>13706979</v>
      </c>
      <c r="L1469" s="616" t="s">
        <v>8</v>
      </c>
      <c r="M1469" s="616" t="s">
        <v>48</v>
      </c>
      <c r="N1469" s="52" t="str">
        <f>IF(AND('331-CT'!$E$7=TH!H1469,OR(L1469="331",M1469="331")),"331",IF(AND(OR(L1469="131",M1469="131"),H1469='131-CT'!$E$7),"131",""))</f>
        <v>331</v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198"/>
      <c r="AB1469" s="198"/>
      <c r="AC1469" s="198"/>
      <c r="AD1469" s="198"/>
    </row>
    <row r="1470" spans="1:30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86"/>
        <v>9</v>
      </c>
      <c r="C1470" s="191">
        <f>E1470</f>
        <v>41153</v>
      </c>
      <c r="D1470" s="191" t="s">
        <v>1613</v>
      </c>
      <c r="E1470" s="191">
        <v>41153</v>
      </c>
      <c r="F1470" s="192" t="s">
        <v>1125</v>
      </c>
      <c r="G1470" s="490" t="s">
        <v>1059</v>
      </c>
      <c r="H1470" s="193" t="s">
        <v>886</v>
      </c>
      <c r="I1470" s="252">
        <v>1060</v>
      </c>
      <c r="J1470" s="252">
        <v>8300</v>
      </c>
      <c r="K1470" s="38">
        <f>ROUND(I1470*J1470,0)</f>
        <v>8798000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si="86"/>
        <v>9</v>
      </c>
      <c r="C1471" s="191">
        <f>E1471</f>
        <v>41153</v>
      </c>
      <c r="D1471" s="191" t="s">
        <v>1613</v>
      </c>
      <c r="E1471" s="191">
        <v>41153</v>
      </c>
      <c r="F1471" s="192" t="s">
        <v>555</v>
      </c>
      <c r="G1471" s="490" t="s">
        <v>1059</v>
      </c>
      <c r="H1471" s="193" t="s">
        <v>886</v>
      </c>
      <c r="I1471" s="252"/>
      <c r="J1471" s="252"/>
      <c r="K1471" s="38">
        <v>879800</v>
      </c>
      <c r="L1471" s="194" t="s">
        <v>284</v>
      </c>
      <c r="M1471" s="194" t="s">
        <v>495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198"/>
      <c r="AB1471" s="198"/>
      <c r="AC1471" s="198"/>
      <c r="AD1471" s="198"/>
    </row>
    <row r="1472" spans="1:30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86"/>
        <v>9</v>
      </c>
      <c r="C1472" s="191">
        <f>E1472</f>
        <v>41153</v>
      </c>
      <c r="D1472" s="191" t="s">
        <v>1650</v>
      </c>
      <c r="E1472" s="191">
        <v>41153</v>
      </c>
      <c r="F1472" s="192" t="s">
        <v>365</v>
      </c>
      <c r="G1472" s="490" t="s">
        <v>1059</v>
      </c>
      <c r="H1472" s="193" t="s">
        <v>886</v>
      </c>
      <c r="I1472" s="252"/>
      <c r="J1472" s="252"/>
      <c r="K1472" s="38">
        <v>9677800</v>
      </c>
      <c r="L1472" s="194" t="s">
        <v>48</v>
      </c>
      <c r="M1472" s="194" t="s">
        <v>284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198"/>
      <c r="AB1472" s="198"/>
      <c r="AC1472" s="198"/>
      <c r="AD1472" s="198"/>
    </row>
    <row r="1473" spans="1:30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86"/>
        <v>9</v>
      </c>
      <c r="C1473" s="191">
        <v>41156</v>
      </c>
      <c r="D1473" s="191" t="s">
        <v>459</v>
      </c>
      <c r="E1473" s="184">
        <v>41156</v>
      </c>
      <c r="F1473" s="189" t="s">
        <v>403</v>
      </c>
      <c r="G1473" s="189" t="s">
        <v>869</v>
      </c>
      <c r="H1473" s="193" t="s">
        <v>405</v>
      </c>
      <c r="I1473" s="252">
        <v>100</v>
      </c>
      <c r="J1473" s="252">
        <v>25000</v>
      </c>
      <c r="K1473" s="615">
        <v>2500000</v>
      </c>
      <c r="L1473" s="616" t="s">
        <v>171</v>
      </c>
      <c r="M1473" s="616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>x</v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86"/>
        <v>9</v>
      </c>
      <c r="C1474" s="191">
        <v>41156</v>
      </c>
      <c r="D1474" s="191" t="s">
        <v>459</v>
      </c>
      <c r="E1474" s="184">
        <v>41156</v>
      </c>
      <c r="F1474" s="189" t="s">
        <v>404</v>
      </c>
      <c r="G1474" s="617" t="s">
        <v>869</v>
      </c>
      <c r="H1474" s="193" t="s">
        <v>405</v>
      </c>
      <c r="I1474" s="252"/>
      <c r="J1474" s="252"/>
      <c r="K1474" s="615">
        <v>250000</v>
      </c>
      <c r="L1474" s="877" t="s">
        <v>9</v>
      </c>
      <c r="M1474" s="616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>
        <v>9</v>
      </c>
      <c r="AB1474" s="198"/>
      <c r="AC1474" s="198"/>
      <c r="AD1474" s="198"/>
    </row>
    <row r="1475" spans="1:30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86"/>
        <v>9</v>
      </c>
      <c r="C1475" s="191">
        <v>41156</v>
      </c>
      <c r="D1475" s="184" t="s">
        <v>1681</v>
      </c>
      <c r="E1475" s="184">
        <v>41156</v>
      </c>
      <c r="F1475" s="189" t="s">
        <v>400</v>
      </c>
      <c r="G1475" s="189" t="s">
        <v>869</v>
      </c>
      <c r="H1475" s="193" t="s">
        <v>405</v>
      </c>
      <c r="I1475" s="252"/>
      <c r="J1475" s="252"/>
      <c r="K1475" s="615">
        <v>2750000</v>
      </c>
      <c r="L1475" s="616" t="s">
        <v>8</v>
      </c>
      <c r="M1475" s="616" t="s">
        <v>48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198"/>
      <c r="AB1475" s="198"/>
      <c r="AC1475" s="198"/>
      <c r="AD1475" s="198"/>
    </row>
    <row r="1476" spans="1:30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86"/>
        <v>9</v>
      </c>
      <c r="C1476" s="191">
        <v>41157</v>
      </c>
      <c r="D1476" s="184" t="s">
        <v>363</v>
      </c>
      <c r="E1476" s="184">
        <v>41157</v>
      </c>
      <c r="F1476" s="189" t="s">
        <v>365</v>
      </c>
      <c r="G1476" s="189" t="s">
        <v>361</v>
      </c>
      <c r="H1476" s="7" t="s">
        <v>500</v>
      </c>
      <c r="I1476" s="252"/>
      <c r="J1476" s="252"/>
      <c r="K1476" s="615">
        <v>6042960</v>
      </c>
      <c r="L1476" s="877" t="s">
        <v>24</v>
      </c>
      <c r="M1476" s="877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>x</v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198"/>
      <c r="AB1476" s="198"/>
      <c r="AC1476" s="198"/>
      <c r="AD1476" s="198"/>
    </row>
    <row r="1477" spans="1:30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86"/>
        <v>9</v>
      </c>
      <c r="C1477" s="191">
        <v>41157</v>
      </c>
      <c r="D1477" s="191" t="s">
        <v>763</v>
      </c>
      <c r="E1477" s="184">
        <v>41157</v>
      </c>
      <c r="F1477" s="189" t="s">
        <v>1288</v>
      </c>
      <c r="G1477" s="189" t="s">
        <v>870</v>
      </c>
      <c r="H1477" s="7" t="s">
        <v>436</v>
      </c>
      <c r="I1477" s="252">
        <v>600</v>
      </c>
      <c r="J1477" s="252">
        <v>12227</v>
      </c>
      <c r="K1477" s="615">
        <v>7336200</v>
      </c>
      <c r="L1477" s="194" t="s">
        <v>169</v>
      </c>
      <c r="M1477" s="616" t="s">
        <v>8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606"/>
      <c r="AC1477" s="198"/>
      <c r="AD1477" s="198"/>
    </row>
    <row r="1478" spans="1:30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86"/>
        <v>9</v>
      </c>
      <c r="C1478" s="191">
        <v>41157</v>
      </c>
      <c r="D1478" s="191" t="s">
        <v>763</v>
      </c>
      <c r="E1478" s="184">
        <v>41157</v>
      </c>
      <c r="F1478" s="189" t="s">
        <v>566</v>
      </c>
      <c r="G1478" s="488" t="s">
        <v>870</v>
      </c>
      <c r="H1478" s="7" t="s">
        <v>436</v>
      </c>
      <c r="I1478" s="252"/>
      <c r="J1478" s="252"/>
      <c r="K1478" s="615">
        <v>733620</v>
      </c>
      <c r="L1478" s="877" t="s">
        <v>9</v>
      </c>
      <c r="M1478" s="616" t="s">
        <v>8</v>
      </c>
      <c r="N1478" s="52" t="str">
        <f>IF(AND('331-CT'!$E$7=TH!H1478,OR(L1478="331",M1478="331")),"331",IF(AND(OR(L1478="131",M1478="131"),H1478='131-CT'!$E$7),"131",""))</f>
        <v>331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198">
        <v>9</v>
      </c>
      <c r="AB1478" s="198"/>
      <c r="AC1478" s="198"/>
      <c r="AD1478" s="198"/>
    </row>
    <row r="1479" spans="1:30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86"/>
        <v>9</v>
      </c>
      <c r="C1479" s="191">
        <f>E1479</f>
        <v>41158</v>
      </c>
      <c r="D1479" s="191" t="s">
        <v>1614</v>
      </c>
      <c r="E1479" s="191">
        <v>41158</v>
      </c>
      <c r="F1479" s="189" t="s">
        <v>1121</v>
      </c>
      <c r="G1479" s="490" t="s">
        <v>1060</v>
      </c>
      <c r="H1479" s="193" t="s">
        <v>958</v>
      </c>
      <c r="I1479" s="252">
        <v>1020</v>
      </c>
      <c r="J1479" s="252">
        <v>8000</v>
      </c>
      <c r="K1479" s="38">
        <f>ROUND(I1479*J1479,0)</f>
        <v>8160000</v>
      </c>
      <c r="L1479" s="194" t="s">
        <v>284</v>
      </c>
      <c r="M1479" s="194" t="s">
        <v>185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30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86"/>
        <v>9</v>
      </c>
      <c r="C1480" s="191">
        <f>E1480</f>
        <v>41158</v>
      </c>
      <c r="D1480" s="191" t="s">
        <v>1614</v>
      </c>
      <c r="E1480" s="191">
        <v>41158</v>
      </c>
      <c r="F1480" s="192" t="s">
        <v>555</v>
      </c>
      <c r="G1480" s="490" t="s">
        <v>1060</v>
      </c>
      <c r="H1480" s="193" t="s">
        <v>958</v>
      </c>
      <c r="I1480" s="252"/>
      <c r="J1480" s="252"/>
      <c r="K1480" s="38">
        <v>816000</v>
      </c>
      <c r="L1480" s="194" t="s">
        <v>284</v>
      </c>
      <c r="M1480" s="194" t="s">
        <v>495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/>
      <c r="AB1480" s="198"/>
      <c r="AC1480" s="198"/>
      <c r="AD1480" s="198"/>
    </row>
    <row r="1481" spans="1:30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86"/>
        <v>9</v>
      </c>
      <c r="C1481" s="191">
        <f>E1481</f>
        <v>41158</v>
      </c>
      <c r="D1481" s="191" t="s">
        <v>1651</v>
      </c>
      <c r="E1481" s="191">
        <v>41158</v>
      </c>
      <c r="F1481" s="192" t="s">
        <v>365</v>
      </c>
      <c r="G1481" s="490" t="s">
        <v>1060</v>
      </c>
      <c r="H1481" s="193" t="s">
        <v>958</v>
      </c>
      <c r="I1481" s="252"/>
      <c r="J1481" s="252"/>
      <c r="K1481" s="38">
        <v>8976000</v>
      </c>
      <c r="L1481" s="194" t="s">
        <v>48</v>
      </c>
      <c r="M1481" s="194" t="s">
        <v>284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198"/>
      <c r="AB1481" s="198"/>
      <c r="AC1481" s="198"/>
      <c r="AD1481" s="198"/>
    </row>
    <row r="1482" spans="1:30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86"/>
        <v>9</v>
      </c>
      <c r="C1482" s="191">
        <v>41160</v>
      </c>
      <c r="D1482" s="191" t="s">
        <v>765</v>
      </c>
      <c r="E1482" s="184">
        <v>41160</v>
      </c>
      <c r="F1482" s="189" t="s">
        <v>1424</v>
      </c>
      <c r="G1482" s="189" t="s">
        <v>871</v>
      </c>
      <c r="H1482" s="7" t="s">
        <v>436</v>
      </c>
      <c r="I1482" s="252">
        <v>300</v>
      </c>
      <c r="J1482" s="252">
        <v>8924</v>
      </c>
      <c r="K1482" s="615">
        <v>2677200</v>
      </c>
      <c r="L1482" s="194" t="s">
        <v>169</v>
      </c>
      <c r="M1482" s="616" t="s">
        <v>8</v>
      </c>
      <c r="N1482" s="52" t="str">
        <f>IF(AND('331-CT'!$E$7=TH!H1482,OR(L1482="331",M1482="331")),"331",IF(AND(OR(L1482="131",M1482="131"),H1482='131-CT'!$E$7),"131",""))</f>
        <v>331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/>
      <c r="AB1482" s="606"/>
      <c r="AC1482" s="198"/>
      <c r="AD1482" s="198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86"/>
        <v>9</v>
      </c>
      <c r="C1483" s="191">
        <v>41160</v>
      </c>
      <c r="D1483" s="191" t="s">
        <v>765</v>
      </c>
      <c r="E1483" s="184">
        <v>41160</v>
      </c>
      <c r="F1483" s="189" t="s">
        <v>1278</v>
      </c>
      <c r="G1483" s="488" t="s">
        <v>871</v>
      </c>
      <c r="H1483" s="7" t="s">
        <v>436</v>
      </c>
      <c r="I1483" s="252">
        <v>250</v>
      </c>
      <c r="J1483" s="252">
        <v>17574</v>
      </c>
      <c r="K1483" s="615">
        <v>4393500</v>
      </c>
      <c r="L1483" s="194" t="s">
        <v>169</v>
      </c>
      <c r="M1483" s="616" t="s">
        <v>8</v>
      </c>
      <c r="N1483" s="52" t="str">
        <f>IF(AND('331-CT'!$E$7=TH!H1483,OR(L1483="331",M1483="331")),"331",IF(AND(OR(L1483="131",M1483="131"),H1483='131-CT'!$E$7),"131",""))</f>
        <v>331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198"/>
      <c r="AB1483" s="606"/>
      <c r="AC1483" s="198"/>
      <c r="AD1483" s="198"/>
    </row>
    <row r="1484" spans="1:30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86"/>
        <v>9</v>
      </c>
      <c r="C1484" s="191">
        <v>41160</v>
      </c>
      <c r="D1484" s="191" t="s">
        <v>765</v>
      </c>
      <c r="E1484" s="184">
        <v>41160</v>
      </c>
      <c r="F1484" s="189" t="s">
        <v>1356</v>
      </c>
      <c r="G1484" s="189" t="s">
        <v>871</v>
      </c>
      <c r="H1484" s="7" t="s">
        <v>436</v>
      </c>
      <c r="I1484" s="252">
        <v>100</v>
      </c>
      <c r="J1484" s="252">
        <v>12635</v>
      </c>
      <c r="K1484" s="615">
        <v>1263500</v>
      </c>
      <c r="L1484" s="194" t="s">
        <v>169</v>
      </c>
      <c r="M1484" s="616" t="s">
        <v>8</v>
      </c>
      <c r="N1484" s="52" t="str">
        <f>IF(AND('331-CT'!$E$7=TH!H1484,OR(L1484="331",M1484="331")),"331",IF(AND(OR(L1484="131",M1484="131"),H1484='131-CT'!$E$7),"131",""))</f>
        <v>331</v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198"/>
      <c r="AB1484" s="606"/>
      <c r="AC1484" s="198"/>
      <c r="AD1484" s="198"/>
    </row>
    <row r="1485" spans="1:30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86"/>
        <v>9</v>
      </c>
      <c r="C1485" s="191">
        <v>41160</v>
      </c>
      <c r="D1485" s="191" t="s">
        <v>765</v>
      </c>
      <c r="E1485" s="184">
        <v>41160</v>
      </c>
      <c r="F1485" s="189" t="s">
        <v>566</v>
      </c>
      <c r="G1485" s="488" t="s">
        <v>871</v>
      </c>
      <c r="H1485" s="7" t="s">
        <v>436</v>
      </c>
      <c r="I1485" s="252"/>
      <c r="J1485" s="252"/>
      <c r="K1485" s="615">
        <v>833420</v>
      </c>
      <c r="L1485" s="877" t="s">
        <v>9</v>
      </c>
      <c r="M1485" s="616" t="s">
        <v>8</v>
      </c>
      <c r="N1485" s="52" t="str">
        <f>IF(AND('331-CT'!$E$7=TH!H1485,OR(L1485="331",M1485="331")),"331",IF(AND(OR(L1485="131",M1485="131"),H1485='131-CT'!$E$7),"131",""))</f>
        <v>331</v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198">
        <v>9</v>
      </c>
      <c r="AB1485" s="198"/>
      <c r="AC1485" s="198"/>
      <c r="AD1485" s="198"/>
    </row>
    <row r="1486" spans="1:30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86"/>
        <v>9</v>
      </c>
      <c r="C1486" s="191">
        <v>41160</v>
      </c>
      <c r="D1486" s="191" t="s">
        <v>1682</v>
      </c>
      <c r="E1486" s="184">
        <v>41160</v>
      </c>
      <c r="F1486" s="189" t="s">
        <v>400</v>
      </c>
      <c r="G1486" s="488" t="s">
        <v>871</v>
      </c>
      <c r="H1486" s="7" t="s">
        <v>436</v>
      </c>
      <c r="I1486" s="252"/>
      <c r="J1486" s="252"/>
      <c r="K1486" s="615">
        <v>9167620</v>
      </c>
      <c r="L1486" s="616" t="s">
        <v>8</v>
      </c>
      <c r="M1486" s="616" t="s">
        <v>48</v>
      </c>
      <c r="N1486" s="52" t="str">
        <f>IF(AND('331-CT'!$E$7=TH!H1486,OR(L1486="331",M1486="331")),"331",IF(AND(OR(L1486="131",M1486="131"),H1486='131-CT'!$E$7),"131",""))</f>
        <v>331</v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198"/>
      <c r="AB1486" s="198"/>
      <c r="AC1486" s="198"/>
      <c r="AD1486" s="198"/>
    </row>
    <row r="1487" spans="1:30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86"/>
        <v>9</v>
      </c>
      <c r="C1487" s="191">
        <v>41160</v>
      </c>
      <c r="D1487" s="191" t="s">
        <v>770</v>
      </c>
      <c r="E1487" s="184">
        <v>41160</v>
      </c>
      <c r="F1487" s="189" t="s">
        <v>1362</v>
      </c>
      <c r="G1487" s="189" t="s">
        <v>872</v>
      </c>
      <c r="H1487" s="7" t="s">
        <v>436</v>
      </c>
      <c r="I1487" s="252">
        <v>100</v>
      </c>
      <c r="J1487" s="252">
        <v>16665</v>
      </c>
      <c r="K1487" s="615">
        <v>1666500</v>
      </c>
      <c r="L1487" s="194" t="s">
        <v>169</v>
      </c>
      <c r="M1487" s="616" t="s">
        <v>8</v>
      </c>
      <c r="N1487" s="52" t="str">
        <f>IF(AND('331-CT'!$E$7=TH!H1487,OR(L1487="331",M1487="331")),"331",IF(AND(OR(L1487="131",M1487="131"),H1487='131-CT'!$E$7),"131",""))</f>
        <v>331</v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606"/>
      <c r="AC1487" s="198"/>
      <c r="AD1487" s="198"/>
    </row>
    <row r="1488" spans="1:30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86"/>
        <v>9</v>
      </c>
      <c r="C1488" s="191">
        <v>41160</v>
      </c>
      <c r="D1488" s="191" t="s">
        <v>770</v>
      </c>
      <c r="E1488" s="184">
        <v>41160</v>
      </c>
      <c r="F1488" s="189" t="s">
        <v>1363</v>
      </c>
      <c r="G1488" s="488" t="s">
        <v>872</v>
      </c>
      <c r="H1488" s="7" t="s">
        <v>436</v>
      </c>
      <c r="I1488" s="252">
        <v>1000</v>
      </c>
      <c r="J1488" s="252">
        <v>19979</v>
      </c>
      <c r="K1488" s="615">
        <v>19979000</v>
      </c>
      <c r="L1488" s="194" t="s">
        <v>169</v>
      </c>
      <c r="M1488" s="616" t="s">
        <v>8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606"/>
      <c r="AC1488" s="198"/>
      <c r="AD1488" s="198"/>
    </row>
    <row r="1489" spans="1:30" ht="15.75" customHeight="1">
      <c r="A1489" s="204" t="str">
        <f>IF(B1489&lt;&gt;"",IF(AND(B1489&gt;=_TM1,B1489&lt;=_TM2,OR(TH!L1489="1111",TH!M1489="1111")),TH!D1489,""),"")</f>
        <v/>
      </c>
      <c r="B1489" s="36">
        <f t="shared" si="86"/>
        <v>9</v>
      </c>
      <c r="C1489" s="191">
        <v>41160</v>
      </c>
      <c r="D1489" s="191" t="s">
        <v>770</v>
      </c>
      <c r="E1489" s="184">
        <v>41160</v>
      </c>
      <c r="F1489" s="189" t="s">
        <v>1363</v>
      </c>
      <c r="G1489" s="189" t="s">
        <v>872</v>
      </c>
      <c r="H1489" s="7" t="s">
        <v>436</v>
      </c>
      <c r="I1489" s="252">
        <v>250</v>
      </c>
      <c r="J1489" s="252">
        <v>18628</v>
      </c>
      <c r="K1489" s="615">
        <v>4657000</v>
      </c>
      <c r="L1489" s="194" t="s">
        <v>169</v>
      </c>
      <c r="M1489" s="616" t="s">
        <v>8</v>
      </c>
      <c r="N1489" s="52" t="str">
        <f>IF(AND('331-CT'!$E$7=TH!H1489,OR(L1489="331",M1489="331")),"331",IF(AND(OR(L1489="131",M1489="131"),H1489='131-CT'!$E$7),"131",""))</f>
        <v>331</v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B1489" s="606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86"/>
        <v>9</v>
      </c>
      <c r="C1490" s="191">
        <v>41160</v>
      </c>
      <c r="D1490" s="191" t="s">
        <v>770</v>
      </c>
      <c r="E1490" s="184">
        <v>41160</v>
      </c>
      <c r="F1490" s="189" t="s">
        <v>566</v>
      </c>
      <c r="G1490" s="488" t="s">
        <v>872</v>
      </c>
      <c r="H1490" s="7" t="s">
        <v>436</v>
      </c>
      <c r="I1490" s="252"/>
      <c r="J1490" s="252"/>
      <c r="K1490" s="615">
        <v>2630250</v>
      </c>
      <c r="L1490" s="877" t="s">
        <v>9</v>
      </c>
      <c r="M1490" s="616" t="s">
        <v>8</v>
      </c>
      <c r="N1490" s="52" t="str">
        <f>IF(AND('331-CT'!$E$7=TH!H1490,OR(L1490="331",M1490="331")),"331",IF(AND(OR(L1490="131",M1490="131"),H1490='131-CT'!$E$7),"131",""))</f>
        <v>331</v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198">
        <v>9</v>
      </c>
      <c r="AB1490" s="198"/>
      <c r="AC1490" s="198"/>
      <c r="AD1490" s="198"/>
    </row>
    <row r="1491" spans="1:30" ht="15.75" customHeight="1">
      <c r="A1491" s="204" t="str">
        <f>IF(B1491&lt;&gt;"",IF(AND(B1491&gt;=_TM1,B1491&lt;=_TM2,OR(TH!L1491="1111",TH!M1491="1111")),TH!D1491,""),"")</f>
        <v/>
      </c>
      <c r="B1491" s="36">
        <f t="shared" si="86"/>
        <v>9</v>
      </c>
      <c r="C1491" s="191">
        <v>41162</v>
      </c>
      <c r="D1491" s="184" t="s">
        <v>1684</v>
      </c>
      <c r="E1491" s="184">
        <v>41162</v>
      </c>
      <c r="F1491" s="189" t="s">
        <v>396</v>
      </c>
      <c r="G1491" s="189" t="s">
        <v>361</v>
      </c>
      <c r="H1491" s="193" t="s">
        <v>397</v>
      </c>
      <c r="I1491" s="252"/>
      <c r="J1491" s="252"/>
      <c r="K1491" s="615">
        <v>10000000</v>
      </c>
      <c r="L1491" s="877" t="s">
        <v>24</v>
      </c>
      <c r="M1491" s="877" t="s">
        <v>48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>x</v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30" ht="15.75" customHeight="1">
      <c r="A1492" s="204" t="str">
        <f>IF(B1492&lt;&gt;"",IF(AND(B1492&gt;=_TM1,B1492&lt;=_TM2,OR(TH!L1492="1111",TH!M1492="1111")),TH!D1492,""),"")</f>
        <v/>
      </c>
      <c r="B1492" s="36">
        <f t="shared" si="86"/>
        <v>9</v>
      </c>
      <c r="C1492" s="191">
        <v>41162</v>
      </c>
      <c r="D1492" s="184" t="s">
        <v>364</v>
      </c>
      <c r="E1492" s="184">
        <v>41162</v>
      </c>
      <c r="F1492" s="189" t="s">
        <v>400</v>
      </c>
      <c r="G1492" s="488" t="s">
        <v>361</v>
      </c>
      <c r="H1492" s="7" t="s">
        <v>436</v>
      </c>
      <c r="I1492" s="252"/>
      <c r="J1492" s="252"/>
      <c r="K1492" s="615">
        <v>35000000</v>
      </c>
      <c r="L1492" s="616" t="s">
        <v>8</v>
      </c>
      <c r="M1492" s="877" t="s">
        <v>24</v>
      </c>
      <c r="N1492" s="52" t="str">
        <f>IF(AND('331-CT'!$E$7=TH!H1492,OR(L1492="331",M1492="331")),"331",IF(AND(OR(L1492="131",M1492="131"),H1492='131-CT'!$E$7),"131",""))</f>
        <v>331</v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30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ref="B1493:B1556" si="88">IF(C1493&lt;&gt;"",MONTH(C1493),"")</f>
        <v>9</v>
      </c>
      <c r="C1493" s="191">
        <v>41162</v>
      </c>
      <c r="D1493" s="184" t="s">
        <v>364</v>
      </c>
      <c r="E1493" s="184">
        <v>41162</v>
      </c>
      <c r="F1493" s="189" t="s">
        <v>366</v>
      </c>
      <c r="G1493" s="189" t="s">
        <v>361</v>
      </c>
      <c r="H1493" s="193"/>
      <c r="I1493" s="252"/>
      <c r="J1493" s="252"/>
      <c r="K1493" s="615">
        <v>20000</v>
      </c>
      <c r="L1493" s="877" t="s">
        <v>84</v>
      </c>
      <c r="M1493" s="877" t="s">
        <v>24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41162</v>
      </c>
      <c r="D1494" s="184" t="s">
        <v>364</v>
      </c>
      <c r="E1494" s="184">
        <v>41162</v>
      </c>
      <c r="F1494" s="189" t="s">
        <v>730</v>
      </c>
      <c r="G1494" s="189" t="s">
        <v>361</v>
      </c>
      <c r="H1494" s="193"/>
      <c r="I1494" s="252"/>
      <c r="J1494" s="252"/>
      <c r="K1494" s="615">
        <v>10000</v>
      </c>
      <c r="L1494" s="877" t="s">
        <v>84</v>
      </c>
      <c r="M1494" s="877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f t="shared" ref="C1495:C1513" si="89">E1495</f>
        <v>41162</v>
      </c>
      <c r="D1495" s="191" t="s">
        <v>1615</v>
      </c>
      <c r="E1495" s="191">
        <v>41162</v>
      </c>
      <c r="F1495" s="192" t="s">
        <v>1147</v>
      </c>
      <c r="G1495" s="490" t="s">
        <v>1061</v>
      </c>
      <c r="H1495" s="193" t="s">
        <v>700</v>
      </c>
      <c r="I1495" s="252">
        <v>108</v>
      </c>
      <c r="J1495" s="252">
        <v>37800</v>
      </c>
      <c r="K1495" s="38">
        <f>ROUND(I1495*J1495,0)</f>
        <v>4082400</v>
      </c>
      <c r="L1495" s="194" t="s">
        <v>284</v>
      </c>
      <c r="M1495" s="194" t="s">
        <v>185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30" ht="15.75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f t="shared" si="89"/>
        <v>41162</v>
      </c>
      <c r="D1496" s="191" t="s">
        <v>1615</v>
      </c>
      <c r="E1496" s="191">
        <v>41162</v>
      </c>
      <c r="F1496" s="192" t="s">
        <v>1146</v>
      </c>
      <c r="G1496" s="490" t="s">
        <v>1061</v>
      </c>
      <c r="H1496" s="193" t="s">
        <v>700</v>
      </c>
      <c r="I1496" s="252">
        <v>63</v>
      </c>
      <c r="J1496" s="252">
        <v>47000</v>
      </c>
      <c r="K1496" s="38">
        <f>ROUND(I1496*J1496,0)</f>
        <v>2961000</v>
      </c>
      <c r="L1496" s="194" t="s">
        <v>284</v>
      </c>
      <c r="M1496" s="194" t="s">
        <v>185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211"/>
      <c r="AB1496" s="211"/>
      <c r="AC1496" s="211"/>
      <c r="AD1496" s="211"/>
    </row>
    <row r="1497" spans="1:30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f t="shared" si="89"/>
        <v>41162</v>
      </c>
      <c r="D1497" s="191" t="s">
        <v>1615</v>
      </c>
      <c r="E1497" s="191">
        <v>41162</v>
      </c>
      <c r="F1497" s="192" t="s">
        <v>555</v>
      </c>
      <c r="G1497" s="490" t="s">
        <v>1061</v>
      </c>
      <c r="H1497" s="193" t="s">
        <v>700</v>
      </c>
      <c r="I1497" s="252"/>
      <c r="J1497" s="252"/>
      <c r="K1497" s="38">
        <v>704340</v>
      </c>
      <c r="L1497" s="194" t="s">
        <v>284</v>
      </c>
      <c r="M1497" s="194" t="s">
        <v>495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/>
      <c r="AB1497" s="198"/>
      <c r="AC1497" s="198"/>
      <c r="AD1497" s="198"/>
    </row>
    <row r="1498" spans="1:30" ht="15.75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f t="shared" si="89"/>
        <v>41162</v>
      </c>
      <c r="D1498" s="191" t="s">
        <v>1616</v>
      </c>
      <c r="E1498" s="191">
        <v>41162</v>
      </c>
      <c r="F1498" s="192" t="s">
        <v>1128</v>
      </c>
      <c r="G1498" s="490" t="s">
        <v>432</v>
      </c>
      <c r="H1498" s="193" t="s">
        <v>997</v>
      </c>
      <c r="I1498" s="252">
        <v>590</v>
      </c>
      <c r="J1498" s="252">
        <v>13700</v>
      </c>
      <c r="K1498" s="38">
        <f>ROUND(I1498*J1498,0)</f>
        <v>8083000</v>
      </c>
      <c r="L1498" s="194" t="s">
        <v>284</v>
      </c>
      <c r="M1498" s="194" t="s">
        <v>185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211"/>
      <c r="AB1498" s="211"/>
      <c r="AC1498" s="211"/>
      <c r="AD1498" s="211"/>
    </row>
    <row r="1499" spans="1:30" ht="15.75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f t="shared" si="89"/>
        <v>41162</v>
      </c>
      <c r="D1499" s="191" t="s">
        <v>1616</v>
      </c>
      <c r="E1499" s="191">
        <v>41162</v>
      </c>
      <c r="F1499" s="879" t="s">
        <v>1129</v>
      </c>
      <c r="G1499" s="490" t="s">
        <v>432</v>
      </c>
      <c r="H1499" s="193" t="s">
        <v>997</v>
      </c>
      <c r="I1499" s="252">
        <v>199</v>
      </c>
      <c r="J1499" s="252">
        <v>10650</v>
      </c>
      <c r="K1499" s="38">
        <f>ROUND(I1499*J1499,0)</f>
        <v>2119350</v>
      </c>
      <c r="L1499" s="194" t="s">
        <v>284</v>
      </c>
      <c r="M1499" s="194" t="s">
        <v>185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211"/>
      <c r="AB1499" s="211"/>
      <c r="AC1499" s="211"/>
      <c r="AD1499" s="211"/>
    </row>
    <row r="1500" spans="1:30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f t="shared" si="89"/>
        <v>41162</v>
      </c>
      <c r="D1500" s="191" t="s">
        <v>1616</v>
      </c>
      <c r="E1500" s="191">
        <v>41162</v>
      </c>
      <c r="F1500" s="192" t="s">
        <v>1739</v>
      </c>
      <c r="G1500" s="490" t="s">
        <v>432</v>
      </c>
      <c r="H1500" s="193" t="s">
        <v>997</v>
      </c>
      <c r="I1500" s="252">
        <v>303</v>
      </c>
      <c r="J1500" s="252">
        <v>12600</v>
      </c>
      <c r="K1500" s="38">
        <f>ROUND(I1500*J1500,0)</f>
        <v>3817800</v>
      </c>
      <c r="L1500" s="194" t="s">
        <v>284</v>
      </c>
      <c r="M1500" s="194" t="s">
        <v>185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30" ht="15.75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f t="shared" si="89"/>
        <v>41162</v>
      </c>
      <c r="D1501" s="191" t="s">
        <v>1616</v>
      </c>
      <c r="E1501" s="191">
        <v>41162</v>
      </c>
      <c r="F1501" s="192" t="s">
        <v>555</v>
      </c>
      <c r="G1501" s="490" t="s">
        <v>432</v>
      </c>
      <c r="H1501" s="193" t="s">
        <v>997</v>
      </c>
      <c r="I1501" s="252"/>
      <c r="J1501" s="252"/>
      <c r="K1501" s="38">
        <v>1402015</v>
      </c>
      <c r="L1501" s="194" t="s">
        <v>284</v>
      </c>
      <c r="M1501" s="194" t="s">
        <v>495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ht="15.75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f t="shared" si="89"/>
        <v>41162</v>
      </c>
      <c r="D1502" s="191" t="s">
        <v>1652</v>
      </c>
      <c r="E1502" s="191">
        <v>41162</v>
      </c>
      <c r="F1502" s="192" t="s">
        <v>365</v>
      </c>
      <c r="G1502" s="490" t="s">
        <v>432</v>
      </c>
      <c r="H1502" s="193" t="s">
        <v>997</v>
      </c>
      <c r="I1502" s="252"/>
      <c r="J1502" s="252"/>
      <c r="K1502" s="38">
        <v>15422165</v>
      </c>
      <c r="L1502" s="194" t="s">
        <v>48</v>
      </c>
      <c r="M1502" s="194" t="s">
        <v>284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30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f t="shared" si="89"/>
        <v>41162</v>
      </c>
      <c r="D1503" s="191" t="s">
        <v>1617</v>
      </c>
      <c r="E1503" s="191">
        <v>41162</v>
      </c>
      <c r="F1503" s="192" t="s">
        <v>1062</v>
      </c>
      <c r="G1503" s="490" t="s">
        <v>1063</v>
      </c>
      <c r="H1503" s="193" t="s">
        <v>948</v>
      </c>
      <c r="I1503" s="252">
        <v>100</v>
      </c>
      <c r="J1503" s="252">
        <v>7268</v>
      </c>
      <c r="K1503" s="38">
        <f>ROUND(I1503*J1503,0)</f>
        <v>726800</v>
      </c>
      <c r="L1503" s="194" t="s">
        <v>284</v>
      </c>
      <c r="M1503" s="194" t="s">
        <v>185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30" ht="15.75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f t="shared" si="89"/>
        <v>41162</v>
      </c>
      <c r="D1504" s="191" t="s">
        <v>1617</v>
      </c>
      <c r="E1504" s="191">
        <v>41162</v>
      </c>
      <c r="F1504" s="192" t="s">
        <v>1229</v>
      </c>
      <c r="G1504" s="490" t="s">
        <v>1063</v>
      </c>
      <c r="H1504" s="193" t="s">
        <v>948</v>
      </c>
      <c r="I1504" s="252">
        <v>228</v>
      </c>
      <c r="J1504" s="252">
        <v>5300</v>
      </c>
      <c r="K1504" s="38">
        <f>ROUND(I1504*J1504,0)</f>
        <v>1208400</v>
      </c>
      <c r="L1504" s="194" t="s">
        <v>284</v>
      </c>
      <c r="M1504" s="194" t="s">
        <v>185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211"/>
      <c r="AB1504" s="211"/>
      <c r="AC1504" s="211"/>
      <c r="AD1504" s="211"/>
    </row>
    <row r="1505" spans="1:30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191">
        <f t="shared" si="89"/>
        <v>41162</v>
      </c>
      <c r="D1505" s="191" t="s">
        <v>1617</v>
      </c>
      <c r="E1505" s="191">
        <v>41162</v>
      </c>
      <c r="F1505" s="192" t="s">
        <v>555</v>
      </c>
      <c r="G1505" s="490" t="s">
        <v>1063</v>
      </c>
      <c r="H1505" s="193" t="s">
        <v>948</v>
      </c>
      <c r="I1505" s="252"/>
      <c r="J1505" s="252"/>
      <c r="K1505" s="38">
        <v>193520</v>
      </c>
      <c r="L1505" s="194" t="s">
        <v>284</v>
      </c>
      <c r="M1505" s="194" t="s">
        <v>495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198"/>
      <c r="AB1505" s="198"/>
      <c r="AC1505" s="198"/>
      <c r="AD1505" s="198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191">
        <f t="shared" si="89"/>
        <v>41162</v>
      </c>
      <c r="D1506" s="191" t="s">
        <v>1653</v>
      </c>
      <c r="E1506" s="191">
        <v>41162</v>
      </c>
      <c r="F1506" s="192" t="s">
        <v>365</v>
      </c>
      <c r="G1506" s="490" t="s">
        <v>1063</v>
      </c>
      <c r="H1506" s="193" t="s">
        <v>948</v>
      </c>
      <c r="I1506" s="252"/>
      <c r="J1506" s="252"/>
      <c r="K1506" s="38">
        <v>2128720</v>
      </c>
      <c r="L1506" s="194" t="s">
        <v>48</v>
      </c>
      <c r="M1506" s="194" t="s">
        <v>284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198"/>
      <c r="AB1506" s="198"/>
      <c r="AC1506" s="198"/>
      <c r="AD1506" s="198"/>
    </row>
    <row r="1507" spans="1:30" ht="15.75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191">
        <f t="shared" si="89"/>
        <v>41163</v>
      </c>
      <c r="D1507" s="191" t="s">
        <v>1618</v>
      </c>
      <c r="E1507" s="191">
        <v>41163</v>
      </c>
      <c r="F1507" s="192" t="s">
        <v>1229</v>
      </c>
      <c r="G1507" s="490" t="s">
        <v>1064</v>
      </c>
      <c r="H1507" s="193" t="s">
        <v>948</v>
      </c>
      <c r="I1507" s="252">
        <v>808</v>
      </c>
      <c r="J1507" s="252">
        <v>5300</v>
      </c>
      <c r="K1507" s="38">
        <f>ROUND(I1507*J1507,0)</f>
        <v>4282400</v>
      </c>
      <c r="L1507" s="194" t="s">
        <v>284</v>
      </c>
      <c r="M1507" s="194" t="s">
        <v>185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211"/>
      <c r="AB1507" s="211"/>
      <c r="AC1507" s="211"/>
      <c r="AD1507" s="211"/>
    </row>
    <row r="1508" spans="1:30" ht="15.75" customHeight="1">
      <c r="A1508" s="204" t="str">
        <f>IF(B1508&lt;&gt;"",IF(AND(B1508&gt;=_TM1,B1508&lt;=_TM2,OR(TH!L1508="1111",TH!M1508="1111")),TH!D1508,""),"")</f>
        <v/>
      </c>
      <c r="B1508" s="36">
        <f t="shared" si="88"/>
        <v>9</v>
      </c>
      <c r="C1508" s="191">
        <f t="shared" si="89"/>
        <v>41163</v>
      </c>
      <c r="D1508" s="191" t="s">
        <v>1618</v>
      </c>
      <c r="E1508" s="191">
        <v>41163</v>
      </c>
      <c r="F1508" s="192" t="s">
        <v>1230</v>
      </c>
      <c r="G1508" s="490" t="s">
        <v>1064</v>
      </c>
      <c r="H1508" s="193" t="s">
        <v>948</v>
      </c>
      <c r="I1508" s="252">
        <v>209</v>
      </c>
      <c r="J1508" s="252">
        <v>7268</v>
      </c>
      <c r="K1508" s="38">
        <f>ROUND(I1508*J1508,0)</f>
        <v>1519012</v>
      </c>
      <c r="L1508" s="194" t="s">
        <v>284</v>
      </c>
      <c r="M1508" s="194" t="s">
        <v>185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211"/>
      <c r="AB1508" s="211"/>
      <c r="AC1508" s="211"/>
      <c r="AD1508" s="211"/>
    </row>
    <row r="1509" spans="1:30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88"/>
        <v>9</v>
      </c>
      <c r="C1509" s="191">
        <f t="shared" si="89"/>
        <v>41163</v>
      </c>
      <c r="D1509" s="191" t="s">
        <v>1618</v>
      </c>
      <c r="E1509" s="191">
        <v>41163</v>
      </c>
      <c r="F1509" s="192" t="s">
        <v>1231</v>
      </c>
      <c r="G1509" s="490" t="s">
        <v>1064</v>
      </c>
      <c r="H1509" s="193" t="s">
        <v>948</v>
      </c>
      <c r="I1509" s="252">
        <v>104</v>
      </c>
      <c r="J1509" s="252">
        <v>5170</v>
      </c>
      <c r="K1509" s="38">
        <f>ROUND(I1509*J1509,0)</f>
        <v>537680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ht="15.75" customHeight="1">
      <c r="A1510" s="204" t="str">
        <f>IF(B1510&lt;&gt;"",IF(AND(B1510&gt;=_TM1,B1510&lt;=_TM2,OR(TH!L1510="1111",TH!M1510="1111")),TH!D1510,""),"")</f>
        <v/>
      </c>
      <c r="B1510" s="36">
        <f t="shared" si="88"/>
        <v>9</v>
      </c>
      <c r="C1510" s="191">
        <f t="shared" si="89"/>
        <v>41163</v>
      </c>
      <c r="D1510" s="191" t="s">
        <v>1618</v>
      </c>
      <c r="E1510" s="191">
        <v>41163</v>
      </c>
      <c r="F1510" s="192" t="s">
        <v>1222</v>
      </c>
      <c r="G1510" s="490" t="s">
        <v>1064</v>
      </c>
      <c r="H1510" s="193" t="s">
        <v>948</v>
      </c>
      <c r="I1510" s="252">
        <v>2000</v>
      </c>
      <c r="J1510" s="252">
        <v>655</v>
      </c>
      <c r="K1510" s="38">
        <f>ROUND(I1510*J1510,0)</f>
        <v>1310000</v>
      </c>
      <c r="L1510" s="194" t="s">
        <v>284</v>
      </c>
      <c r="M1510" s="194" t="s">
        <v>185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211"/>
      <c r="AB1510" s="211"/>
      <c r="AC1510" s="211"/>
      <c r="AD1510" s="211"/>
    </row>
    <row r="1511" spans="1:30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88"/>
        <v>9</v>
      </c>
      <c r="C1511" s="191">
        <f t="shared" si="89"/>
        <v>41163</v>
      </c>
      <c r="D1511" s="191" t="s">
        <v>1618</v>
      </c>
      <c r="E1511" s="191">
        <v>41163</v>
      </c>
      <c r="F1511" s="192" t="s">
        <v>1228</v>
      </c>
      <c r="G1511" s="490" t="s">
        <v>1064</v>
      </c>
      <c r="H1511" s="193" t="s">
        <v>948</v>
      </c>
      <c r="I1511" s="252">
        <v>400</v>
      </c>
      <c r="J1511" s="252">
        <v>550</v>
      </c>
      <c r="K1511" s="38">
        <f>ROUND(I1511*J1511,0)</f>
        <v>220000</v>
      </c>
      <c r="L1511" s="194" t="s">
        <v>284</v>
      </c>
      <c r="M1511" s="194" t="s">
        <v>185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30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88"/>
        <v>9</v>
      </c>
      <c r="C1512" s="191">
        <f t="shared" si="89"/>
        <v>41163</v>
      </c>
      <c r="D1512" s="191" t="s">
        <v>1618</v>
      </c>
      <c r="E1512" s="191">
        <v>41163</v>
      </c>
      <c r="F1512" s="192" t="s">
        <v>555</v>
      </c>
      <c r="G1512" s="490" t="s">
        <v>1064</v>
      </c>
      <c r="H1512" s="193" t="s">
        <v>948</v>
      </c>
      <c r="I1512" s="252"/>
      <c r="J1512" s="252"/>
      <c r="K1512" s="38">
        <v>786909</v>
      </c>
      <c r="L1512" s="194" t="s">
        <v>284</v>
      </c>
      <c r="M1512" s="194" t="s">
        <v>495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88"/>
        <v>9</v>
      </c>
      <c r="C1513" s="191">
        <f t="shared" si="89"/>
        <v>41163</v>
      </c>
      <c r="D1513" s="191" t="s">
        <v>1654</v>
      </c>
      <c r="E1513" s="191">
        <v>41163</v>
      </c>
      <c r="F1513" s="192" t="s">
        <v>365</v>
      </c>
      <c r="G1513" s="490" t="s">
        <v>1064</v>
      </c>
      <c r="H1513" s="193" t="s">
        <v>948</v>
      </c>
      <c r="I1513" s="252"/>
      <c r="J1513" s="252"/>
      <c r="K1513" s="38">
        <v>8656001</v>
      </c>
      <c r="L1513" s="194" t="s">
        <v>48</v>
      </c>
      <c r="M1513" s="194" t="s">
        <v>284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ht="15.75" customHeight="1">
      <c r="A1514" s="204" t="str">
        <f>IF(B1514&lt;&gt;"",IF(AND(B1514&gt;=_TM1,B1514&lt;=_TM2,OR(TH!L1514="1111",TH!M1514="1111")),TH!D1514,""),"")</f>
        <v/>
      </c>
      <c r="B1514" s="36">
        <f t="shared" si="88"/>
        <v>9</v>
      </c>
      <c r="C1514" s="191">
        <v>41165</v>
      </c>
      <c r="D1514" s="184" t="s">
        <v>363</v>
      </c>
      <c r="E1514" s="184">
        <v>41165</v>
      </c>
      <c r="F1514" s="189" t="s">
        <v>365</v>
      </c>
      <c r="G1514" s="189" t="s">
        <v>361</v>
      </c>
      <c r="H1514" s="193" t="s">
        <v>873</v>
      </c>
      <c r="I1514" s="252"/>
      <c r="J1514" s="252"/>
      <c r="K1514" s="615">
        <v>56071000</v>
      </c>
      <c r="L1514" s="877" t="s">
        <v>24</v>
      </c>
      <c r="M1514" s="877" t="s">
        <v>284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>x</v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30" ht="15.75" customHeight="1">
      <c r="A1515" s="204" t="str">
        <f>IF(B1515&lt;&gt;"",IF(AND(B1515&gt;=_TM1,B1515&lt;=_TM2,OR(TH!L1515="1111",TH!M1515="1111")),TH!D1515,""),"")</f>
        <v/>
      </c>
      <c r="B1515" s="36">
        <f t="shared" si="88"/>
        <v>9</v>
      </c>
      <c r="C1515" s="191">
        <v>41165</v>
      </c>
      <c r="D1515" s="184" t="s">
        <v>367</v>
      </c>
      <c r="E1515" s="184">
        <v>41165</v>
      </c>
      <c r="F1515" s="189" t="s">
        <v>1581</v>
      </c>
      <c r="G1515" s="189"/>
      <c r="H1515" s="193" t="s">
        <v>873</v>
      </c>
      <c r="I1515" s="252"/>
      <c r="J1515" s="252"/>
      <c r="K1515" s="615">
        <v>290</v>
      </c>
      <c r="L1515" s="877" t="s">
        <v>88</v>
      </c>
      <c r="M1515" s="877" t="s">
        <v>284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30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88"/>
        <v>9</v>
      </c>
      <c r="C1516" s="191">
        <v>41166</v>
      </c>
      <c r="D1516" s="184" t="s">
        <v>364</v>
      </c>
      <c r="E1516" s="184">
        <v>41166</v>
      </c>
      <c r="F1516" s="189" t="s">
        <v>400</v>
      </c>
      <c r="G1516" s="488" t="s">
        <v>361</v>
      </c>
      <c r="H1516" s="7" t="s">
        <v>436</v>
      </c>
      <c r="I1516" s="252"/>
      <c r="J1516" s="252"/>
      <c r="K1516" s="615">
        <v>40000000</v>
      </c>
      <c r="L1516" s="616" t="s">
        <v>8</v>
      </c>
      <c r="M1516" s="877" t="s">
        <v>24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>x</v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/>
      <c r="AB1516" s="198"/>
      <c r="AC1516" s="198"/>
      <c r="AD1516" s="198"/>
    </row>
    <row r="1517" spans="1:30" ht="15.75" customHeight="1">
      <c r="A1517" s="204" t="str">
        <f>IF(B1517&lt;&gt;"",IF(AND(B1517&gt;=_TM1,B1517&lt;=_TM2,OR(TH!L1517="1111",TH!M1517="1111")),TH!D1517,""),"")</f>
        <v/>
      </c>
      <c r="B1517" s="36">
        <f t="shared" si="88"/>
        <v>9</v>
      </c>
      <c r="C1517" s="191">
        <v>41166</v>
      </c>
      <c r="D1517" s="184" t="s">
        <v>364</v>
      </c>
      <c r="E1517" s="184">
        <v>41166</v>
      </c>
      <c r="F1517" s="189" t="s">
        <v>366</v>
      </c>
      <c r="G1517" s="189" t="s">
        <v>361</v>
      </c>
      <c r="H1517" s="193"/>
      <c r="I1517" s="252"/>
      <c r="J1517" s="252"/>
      <c r="K1517" s="615">
        <v>20000</v>
      </c>
      <c r="L1517" s="616" t="s">
        <v>84</v>
      </c>
      <c r="M1517" s="876" t="s">
        <v>24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>x</v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30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88"/>
        <v>9</v>
      </c>
      <c r="C1518" s="191">
        <v>41166</v>
      </c>
      <c r="D1518" s="184" t="s">
        <v>1685</v>
      </c>
      <c r="E1518" s="184">
        <v>41166</v>
      </c>
      <c r="F1518" s="189" t="s">
        <v>589</v>
      </c>
      <c r="G1518" s="488" t="s">
        <v>874</v>
      </c>
      <c r="H1518" s="193" t="s">
        <v>591</v>
      </c>
      <c r="I1518" s="252"/>
      <c r="J1518" s="252"/>
      <c r="K1518" s="615">
        <v>406427</v>
      </c>
      <c r="L1518" s="877" t="s">
        <v>84</v>
      </c>
      <c r="M1518" s="877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198"/>
      <c r="AB1518" s="198"/>
      <c r="AC1518" s="198"/>
      <c r="AD1518" s="198"/>
    </row>
    <row r="1519" spans="1:30" ht="15.75" customHeight="1">
      <c r="A1519" s="204" t="str">
        <f>IF(B1519&lt;&gt;"",IF(AND(B1519&gt;=_TM1,B1519&lt;=_TM2,OR(TH!L1519="1111",TH!M1519="1111")),TH!D1519,""),"")</f>
        <v/>
      </c>
      <c r="B1519" s="36">
        <f t="shared" si="88"/>
        <v>9</v>
      </c>
      <c r="C1519" s="191">
        <v>41166</v>
      </c>
      <c r="D1519" s="184" t="s">
        <v>1685</v>
      </c>
      <c r="E1519" s="184">
        <v>41166</v>
      </c>
      <c r="F1519" s="189" t="s">
        <v>592</v>
      </c>
      <c r="G1519" s="189" t="s">
        <v>874</v>
      </c>
      <c r="H1519" s="193" t="s">
        <v>591</v>
      </c>
      <c r="I1519" s="252"/>
      <c r="J1519" s="252"/>
      <c r="K1519" s="615">
        <v>40643</v>
      </c>
      <c r="L1519" s="877" t="s">
        <v>9</v>
      </c>
      <c r="M1519" s="877" t="s">
        <v>48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>
        <v>9</v>
      </c>
    </row>
    <row r="1520" spans="1:30" ht="15.75" customHeight="1">
      <c r="A1520" s="204" t="str">
        <f>IF(B1520&lt;&gt;"",IF(AND(B1520&gt;=_TM1,B1520&lt;=_TM2,OR(TH!L1520="1111",TH!M1520="1111")),TH!D1520,""),"")</f>
        <v/>
      </c>
      <c r="B1520" s="36">
        <f t="shared" si="88"/>
        <v>9</v>
      </c>
      <c r="C1520" s="191">
        <v>41166</v>
      </c>
      <c r="D1520" s="184" t="s">
        <v>1686</v>
      </c>
      <c r="E1520" s="184">
        <v>41166</v>
      </c>
      <c r="F1520" s="189" t="s">
        <v>875</v>
      </c>
      <c r="G1520" s="488" t="s">
        <v>876</v>
      </c>
      <c r="H1520" s="193" t="s">
        <v>401</v>
      </c>
      <c r="I1520" s="252"/>
      <c r="J1520" s="252"/>
      <c r="K1520" s="615">
        <v>5240000</v>
      </c>
      <c r="L1520" s="877" t="s">
        <v>175</v>
      </c>
      <c r="M1520" s="877" t="s">
        <v>48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88"/>
        <v>9</v>
      </c>
      <c r="C1521" s="191">
        <v>41166</v>
      </c>
      <c r="D1521" s="184" t="s">
        <v>1686</v>
      </c>
      <c r="E1521" s="184">
        <v>41166</v>
      </c>
      <c r="F1521" s="189" t="s">
        <v>372</v>
      </c>
      <c r="G1521" s="189" t="s">
        <v>876</v>
      </c>
      <c r="H1521" s="193" t="s">
        <v>401</v>
      </c>
      <c r="I1521" s="252"/>
      <c r="J1521" s="252"/>
      <c r="K1521" s="615">
        <v>524000</v>
      </c>
      <c r="L1521" s="877" t="s">
        <v>9</v>
      </c>
      <c r="M1521" s="877" t="s">
        <v>48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>
        <v>9</v>
      </c>
      <c r="AB1521" s="198"/>
      <c r="AC1521" s="198"/>
      <c r="AD1521" s="198"/>
    </row>
    <row r="1522" spans="1:30" ht="15.75" customHeight="1">
      <c r="A1522" s="204" t="str">
        <f>IF(B1522&lt;&gt;"",IF(AND(B1522&gt;=_TM1,B1522&lt;=_TM2,OR(TH!L1522="1111",TH!M1522="1111")),TH!D1522,""),"")</f>
        <v/>
      </c>
      <c r="B1522" s="36">
        <f t="shared" si="88"/>
        <v>9</v>
      </c>
      <c r="C1522" s="191">
        <v>41169</v>
      </c>
      <c r="D1522" s="184" t="s">
        <v>363</v>
      </c>
      <c r="E1522" s="184">
        <v>41169</v>
      </c>
      <c r="F1522" s="189" t="s">
        <v>365</v>
      </c>
      <c r="G1522" s="488" t="s">
        <v>361</v>
      </c>
      <c r="H1522" s="193" t="s">
        <v>832</v>
      </c>
      <c r="I1522" s="252"/>
      <c r="J1522" s="252"/>
      <c r="K1522" s="615">
        <v>21260030</v>
      </c>
      <c r="L1522" s="877" t="s">
        <v>24</v>
      </c>
      <c r="M1522" s="877" t="s">
        <v>284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>x</v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ht="15.75" customHeight="1">
      <c r="A1523" s="204" t="str">
        <f>IF(B1523&lt;&gt;"",IF(AND(B1523&gt;=_TM1,B1523&lt;=_TM2,OR(TH!L1523="1111",TH!M1523="1111")),TH!D1523,""),"")</f>
        <v/>
      </c>
      <c r="B1523" s="36">
        <f t="shared" si="88"/>
        <v>9</v>
      </c>
      <c r="C1523" s="191">
        <f>E1523</f>
        <v>41169</v>
      </c>
      <c r="D1523" s="191" t="s">
        <v>1619</v>
      </c>
      <c r="E1523" s="191">
        <v>41169</v>
      </c>
      <c r="F1523" s="189" t="s">
        <v>1121</v>
      </c>
      <c r="G1523" s="490" t="s">
        <v>1065</v>
      </c>
      <c r="H1523" s="193" t="s">
        <v>958</v>
      </c>
      <c r="I1523" s="252">
        <v>515</v>
      </c>
      <c r="J1523" s="252">
        <v>8000</v>
      </c>
      <c r="K1523" s="38">
        <f>ROUND(I1523*J1523,0)</f>
        <v>4120000</v>
      </c>
      <c r="L1523" s="194" t="s">
        <v>284</v>
      </c>
      <c r="M1523" s="194" t="s">
        <v>185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211"/>
      <c r="AB1523" s="211"/>
      <c r="AC1523" s="211"/>
      <c r="AD1523" s="211"/>
    </row>
    <row r="1524" spans="1:30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88"/>
        <v>9</v>
      </c>
      <c r="C1524" s="191">
        <f>E1524</f>
        <v>41169</v>
      </c>
      <c r="D1524" s="191" t="s">
        <v>1619</v>
      </c>
      <c r="E1524" s="191">
        <v>41169</v>
      </c>
      <c r="F1524" s="189" t="s">
        <v>1121</v>
      </c>
      <c r="G1524" s="490" t="s">
        <v>1065</v>
      </c>
      <c r="H1524" s="193" t="s">
        <v>958</v>
      </c>
      <c r="I1524" s="252">
        <v>590</v>
      </c>
      <c r="J1524" s="252">
        <v>8000</v>
      </c>
      <c r="K1524" s="38">
        <f>ROUND(I1524*J1524,0)</f>
        <v>4720000</v>
      </c>
      <c r="L1524" s="194" t="s">
        <v>284</v>
      </c>
      <c r="M1524" s="194" t="s">
        <v>185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30" ht="15.75" customHeight="1">
      <c r="A1525" s="204" t="str">
        <f>IF(B1525&lt;&gt;"",IF(AND(B1525&gt;=_TM1,B1525&lt;=_TM2,OR(TH!L1525="1111",TH!M1525="1111")),TH!D1525,""),"")</f>
        <v/>
      </c>
      <c r="B1525" s="36">
        <f t="shared" si="88"/>
        <v>9</v>
      </c>
      <c r="C1525" s="191">
        <f>E1525</f>
        <v>41169</v>
      </c>
      <c r="D1525" s="191" t="s">
        <v>1619</v>
      </c>
      <c r="E1525" s="191">
        <v>41169</v>
      </c>
      <c r="F1525" s="192" t="s">
        <v>555</v>
      </c>
      <c r="G1525" s="490" t="s">
        <v>1065</v>
      </c>
      <c r="H1525" s="193" t="s">
        <v>958</v>
      </c>
      <c r="I1525" s="252"/>
      <c r="J1525" s="252"/>
      <c r="K1525" s="38">
        <v>884000</v>
      </c>
      <c r="L1525" s="194" t="s">
        <v>284</v>
      </c>
      <c r="M1525" s="194" t="s">
        <v>495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customHeight="1">
      <c r="A1526" s="204" t="str">
        <f>IF(B1526&lt;&gt;"",IF(AND(B1526&gt;=_TM1,B1526&lt;=_TM2,OR(TH!L1526="1111",TH!M1526="1111")),TH!D1526,""),"")</f>
        <v/>
      </c>
      <c r="B1526" s="36">
        <f t="shared" si="88"/>
        <v>9</v>
      </c>
      <c r="C1526" s="191">
        <f>E1526</f>
        <v>41169</v>
      </c>
      <c r="D1526" s="191" t="s">
        <v>1655</v>
      </c>
      <c r="E1526" s="191">
        <v>41169</v>
      </c>
      <c r="F1526" s="192" t="s">
        <v>365</v>
      </c>
      <c r="G1526" s="490" t="s">
        <v>1065</v>
      </c>
      <c r="H1526" s="193" t="s">
        <v>958</v>
      </c>
      <c r="I1526" s="252"/>
      <c r="J1526" s="252"/>
      <c r="K1526" s="38">
        <v>9724000</v>
      </c>
      <c r="L1526" s="194" t="s">
        <v>48</v>
      </c>
      <c r="M1526" s="194" t="s">
        <v>284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30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88"/>
        <v>9</v>
      </c>
      <c r="C1527" s="191">
        <v>41170</v>
      </c>
      <c r="D1527" s="184" t="s">
        <v>1683</v>
      </c>
      <c r="E1527" s="184">
        <v>41170</v>
      </c>
      <c r="F1527" s="189" t="s">
        <v>396</v>
      </c>
      <c r="G1527" s="189" t="s">
        <v>361</v>
      </c>
      <c r="H1527" s="193" t="s">
        <v>684</v>
      </c>
      <c r="I1527" s="252"/>
      <c r="J1527" s="252"/>
      <c r="K1527" s="615">
        <v>20000000</v>
      </c>
      <c r="L1527" s="877" t="s">
        <v>24</v>
      </c>
      <c r="M1527" s="877" t="s">
        <v>48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>x</v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198"/>
      <c r="AB1527" s="198"/>
      <c r="AC1527" s="198"/>
      <c r="AD1527" s="198"/>
    </row>
    <row r="1528" spans="1:30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88"/>
        <v>9</v>
      </c>
      <c r="C1528" s="191">
        <v>41170</v>
      </c>
      <c r="D1528" s="184" t="s">
        <v>364</v>
      </c>
      <c r="E1528" s="184">
        <v>41170</v>
      </c>
      <c r="F1528" s="189" t="s">
        <v>400</v>
      </c>
      <c r="G1528" s="488" t="s">
        <v>361</v>
      </c>
      <c r="H1528" s="7" t="s">
        <v>436</v>
      </c>
      <c r="I1528" s="252"/>
      <c r="J1528" s="252"/>
      <c r="K1528" s="615">
        <v>30000000</v>
      </c>
      <c r="L1528" s="616" t="s">
        <v>8</v>
      </c>
      <c r="M1528" s="877" t="s">
        <v>24</v>
      </c>
      <c r="N1528" s="52" t="str">
        <f>IF(AND('331-CT'!$E$7=TH!H1528,OR(L1528="331",M1528="331")),"331",IF(AND(OR(L1528="131",M1528="131"),H1528='131-CT'!$E$7),"131",""))</f>
        <v>331</v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>x</v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198"/>
      <c r="AB1528" s="198"/>
      <c r="AC1528" s="198"/>
      <c r="AD1528" s="198"/>
    </row>
    <row r="1529" spans="1:30" ht="15.75" customHeight="1">
      <c r="A1529" s="204" t="str">
        <f>IF(B1529&lt;&gt;"",IF(AND(B1529&gt;=_TM1,B1529&lt;=_TM2,OR(TH!L1529="1111",TH!M1529="1111")),TH!D1529,""),"")</f>
        <v/>
      </c>
      <c r="B1529" s="36">
        <f t="shared" si="88"/>
        <v>9</v>
      </c>
      <c r="C1529" s="191">
        <v>41170</v>
      </c>
      <c r="D1529" s="184" t="s">
        <v>364</v>
      </c>
      <c r="E1529" s="184">
        <v>41170</v>
      </c>
      <c r="F1529" s="189" t="s">
        <v>366</v>
      </c>
      <c r="G1529" s="189" t="s">
        <v>361</v>
      </c>
      <c r="H1529" s="193"/>
      <c r="I1529" s="252"/>
      <c r="J1529" s="252"/>
      <c r="K1529" s="615">
        <v>20000</v>
      </c>
      <c r="L1529" s="877" t="s">
        <v>84</v>
      </c>
      <c r="M1529" s="877" t="s">
        <v>24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>x</v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ht="15.75" customHeight="1">
      <c r="A1530" s="204" t="str">
        <f>IF(B1530&lt;&gt;"",IF(AND(B1530&gt;=_TM1,B1530&lt;=_TM2,OR(TH!L1530="1111",TH!M1530="1111")),TH!D1530,""),"")</f>
        <v/>
      </c>
      <c r="B1530" s="36">
        <f t="shared" si="88"/>
        <v>9</v>
      </c>
      <c r="C1530" s="191">
        <v>41173</v>
      </c>
      <c r="D1530" s="184" t="s">
        <v>1687</v>
      </c>
      <c r="E1530" s="184">
        <v>41173</v>
      </c>
      <c r="F1530" s="189" t="s">
        <v>396</v>
      </c>
      <c r="G1530" s="488" t="s">
        <v>361</v>
      </c>
      <c r="H1530" s="193" t="s">
        <v>684</v>
      </c>
      <c r="I1530" s="252"/>
      <c r="J1530" s="252"/>
      <c r="K1530" s="615">
        <v>17000000</v>
      </c>
      <c r="L1530" s="877" t="s">
        <v>24</v>
      </c>
      <c r="M1530" s="877" t="s">
        <v>48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>x</v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88"/>
        <v>9</v>
      </c>
      <c r="C1531" s="191">
        <v>41173</v>
      </c>
      <c r="D1531" s="184" t="s">
        <v>364</v>
      </c>
      <c r="E1531" s="184">
        <v>41173</v>
      </c>
      <c r="F1531" s="189" t="s">
        <v>400</v>
      </c>
      <c r="G1531" s="189" t="s">
        <v>361</v>
      </c>
      <c r="H1531" s="7" t="s">
        <v>436</v>
      </c>
      <c r="I1531" s="252"/>
      <c r="J1531" s="252"/>
      <c r="K1531" s="615">
        <v>10000000</v>
      </c>
      <c r="L1531" s="616" t="s">
        <v>8</v>
      </c>
      <c r="M1531" s="877" t="s">
        <v>24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>x</v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198"/>
      <c r="AB1531" s="198"/>
      <c r="AC1531" s="198"/>
      <c r="AD1531" s="198"/>
    </row>
    <row r="1532" spans="1:30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88"/>
        <v>9</v>
      </c>
      <c r="C1532" s="191">
        <v>41173</v>
      </c>
      <c r="D1532" s="184" t="s">
        <v>364</v>
      </c>
      <c r="E1532" s="184">
        <v>41173</v>
      </c>
      <c r="F1532" s="189" t="s">
        <v>366</v>
      </c>
      <c r="G1532" s="189" t="s">
        <v>361</v>
      </c>
      <c r="H1532" s="193"/>
      <c r="I1532" s="252"/>
      <c r="J1532" s="252"/>
      <c r="K1532" s="615">
        <v>20000</v>
      </c>
      <c r="L1532" s="877" t="s">
        <v>84</v>
      </c>
      <c r="M1532" s="877" t="s">
        <v>24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>x</v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198"/>
      <c r="AB1532" s="198"/>
      <c r="AC1532" s="198"/>
      <c r="AD1532" s="198"/>
    </row>
    <row r="1533" spans="1:30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88"/>
        <v>9</v>
      </c>
      <c r="C1533" s="191">
        <v>41173</v>
      </c>
      <c r="D1533" s="184" t="s">
        <v>364</v>
      </c>
      <c r="E1533" s="184">
        <v>41173</v>
      </c>
      <c r="F1533" s="189" t="s">
        <v>400</v>
      </c>
      <c r="G1533" s="189" t="s">
        <v>361</v>
      </c>
      <c r="H1533" s="7" t="s">
        <v>436</v>
      </c>
      <c r="I1533" s="252"/>
      <c r="J1533" s="252"/>
      <c r="K1533" s="615">
        <v>35000000</v>
      </c>
      <c r="L1533" s="616" t="s">
        <v>8</v>
      </c>
      <c r="M1533" s="877" t="s">
        <v>24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>x</v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198"/>
      <c r="AB1533" s="198"/>
      <c r="AC1533" s="198"/>
      <c r="AD1533" s="198"/>
    </row>
    <row r="1534" spans="1:30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88"/>
        <v>9</v>
      </c>
      <c r="C1534" s="191">
        <v>41173</v>
      </c>
      <c r="D1534" s="184" t="s">
        <v>364</v>
      </c>
      <c r="E1534" s="184">
        <v>41173</v>
      </c>
      <c r="F1534" s="189" t="s">
        <v>366</v>
      </c>
      <c r="G1534" s="488" t="s">
        <v>361</v>
      </c>
      <c r="H1534" s="193"/>
      <c r="I1534" s="252"/>
      <c r="J1534" s="252"/>
      <c r="K1534" s="615">
        <v>20000</v>
      </c>
      <c r="L1534" s="877" t="s">
        <v>84</v>
      </c>
      <c r="M1534" s="877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>x</v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198"/>
      <c r="AB1534" s="198"/>
      <c r="AC1534" s="198"/>
      <c r="AD1534" s="198"/>
    </row>
    <row r="1535" spans="1:30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si="88"/>
        <v>9</v>
      </c>
      <c r="C1535" s="191">
        <v>41173</v>
      </c>
      <c r="D1535" s="184" t="s">
        <v>364</v>
      </c>
      <c r="E1535" s="184">
        <v>41173</v>
      </c>
      <c r="F1535" s="189" t="s">
        <v>730</v>
      </c>
      <c r="G1535" s="189" t="s">
        <v>361</v>
      </c>
      <c r="H1535" s="193"/>
      <c r="I1535" s="252"/>
      <c r="J1535" s="252"/>
      <c r="K1535" s="615">
        <v>10000</v>
      </c>
      <c r="L1535" s="616" t="s">
        <v>84</v>
      </c>
      <c r="M1535" s="876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>x</v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198"/>
      <c r="AB1535" s="198"/>
      <c r="AC1535" s="198"/>
      <c r="AD1535" s="198"/>
    </row>
    <row r="1536" spans="1:30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88"/>
        <v>9</v>
      </c>
      <c r="C1536" s="191">
        <v>41173</v>
      </c>
      <c r="D1536" s="191" t="s">
        <v>772</v>
      </c>
      <c r="E1536" s="184">
        <v>41173</v>
      </c>
      <c r="F1536" s="189" t="s">
        <v>1363</v>
      </c>
      <c r="G1536" s="488" t="s">
        <v>877</v>
      </c>
      <c r="H1536" s="7" t="s">
        <v>436</v>
      </c>
      <c r="I1536" s="252">
        <v>1485</v>
      </c>
      <c r="J1536" s="252">
        <v>19979</v>
      </c>
      <c r="K1536" s="615">
        <v>29668815</v>
      </c>
      <c r="L1536" s="194" t="s">
        <v>169</v>
      </c>
      <c r="M1536" s="616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606"/>
      <c r="AC1536" s="198"/>
      <c r="AD1536" s="198"/>
    </row>
    <row r="1537" spans="1:30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88"/>
        <v>9</v>
      </c>
      <c r="C1537" s="191">
        <v>41173</v>
      </c>
      <c r="D1537" s="191" t="s">
        <v>772</v>
      </c>
      <c r="E1537" s="184">
        <v>41173</v>
      </c>
      <c r="F1537" s="189" t="s">
        <v>566</v>
      </c>
      <c r="G1537" s="189" t="s">
        <v>877</v>
      </c>
      <c r="H1537" s="7" t="s">
        <v>436</v>
      </c>
      <c r="I1537" s="252"/>
      <c r="J1537" s="252"/>
      <c r="K1537" s="615">
        <v>2966882</v>
      </c>
      <c r="L1537" s="877" t="s">
        <v>9</v>
      </c>
      <c r="M1537" s="616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198">
        <v>9</v>
      </c>
      <c r="AB1537" s="198"/>
      <c r="AC1537" s="198"/>
      <c r="AD1537" s="198"/>
    </row>
    <row r="1538" spans="1:30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88"/>
        <v>9</v>
      </c>
      <c r="C1538" s="191">
        <v>41177</v>
      </c>
      <c r="D1538" s="184" t="s">
        <v>363</v>
      </c>
      <c r="E1538" s="184">
        <v>41177</v>
      </c>
      <c r="F1538" s="189" t="s">
        <v>398</v>
      </c>
      <c r="G1538" s="488" t="s">
        <v>361</v>
      </c>
      <c r="H1538" s="193"/>
      <c r="I1538" s="252"/>
      <c r="J1538" s="252"/>
      <c r="K1538" s="615">
        <v>31990</v>
      </c>
      <c r="L1538" s="877" t="s">
        <v>24</v>
      </c>
      <c r="M1538" s="877" t="s">
        <v>40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>x</v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88"/>
        <v>9</v>
      </c>
      <c r="C1539" s="191">
        <v>41179</v>
      </c>
      <c r="D1539" s="191" t="s">
        <v>776</v>
      </c>
      <c r="E1539" s="184">
        <v>41179</v>
      </c>
      <c r="F1539" s="189" t="s">
        <v>1363</v>
      </c>
      <c r="G1539" s="189" t="s">
        <v>878</v>
      </c>
      <c r="H1539" s="7" t="s">
        <v>436</v>
      </c>
      <c r="I1539" s="252">
        <v>1000</v>
      </c>
      <c r="J1539" s="252">
        <v>19979</v>
      </c>
      <c r="K1539" s="615">
        <v>19979000</v>
      </c>
      <c r="L1539" s="194" t="s">
        <v>169</v>
      </c>
      <c r="M1539" s="616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/>
      <c r="AB1539" s="606"/>
      <c r="AC1539" s="198"/>
      <c r="AD1539" s="198"/>
    </row>
    <row r="1540" spans="1:30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88"/>
        <v>9</v>
      </c>
      <c r="C1540" s="191">
        <v>41179</v>
      </c>
      <c r="D1540" s="191" t="s">
        <v>776</v>
      </c>
      <c r="E1540" s="184">
        <v>41179</v>
      </c>
      <c r="F1540" s="189" t="s">
        <v>566</v>
      </c>
      <c r="G1540" s="488" t="s">
        <v>878</v>
      </c>
      <c r="H1540" s="7" t="s">
        <v>436</v>
      </c>
      <c r="I1540" s="252"/>
      <c r="J1540" s="252"/>
      <c r="K1540" s="615">
        <v>1997900</v>
      </c>
      <c r="L1540" s="877" t="s">
        <v>9</v>
      </c>
      <c r="M1540" s="616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>
        <v>9</v>
      </c>
      <c r="AB1540" s="198"/>
      <c r="AC1540" s="198"/>
      <c r="AD1540" s="198"/>
    </row>
    <row r="1541" spans="1:30" ht="15.75" customHeight="1">
      <c r="A1541" s="204" t="str">
        <f>IF(B1541&lt;&gt;"",IF(AND(B1541&gt;=_TM1,B1541&lt;=_TM2,OR(TH!L1541="1111",TH!M1541="1111")),TH!D1541,""),"")</f>
        <v/>
      </c>
      <c r="B1541" s="36">
        <f t="shared" si="88"/>
        <v>9</v>
      </c>
      <c r="C1541" s="191">
        <v>41180</v>
      </c>
      <c r="D1541" s="184" t="s">
        <v>1690</v>
      </c>
      <c r="E1541" s="184">
        <v>41180</v>
      </c>
      <c r="F1541" s="189" t="s">
        <v>396</v>
      </c>
      <c r="G1541" s="189" t="s">
        <v>361</v>
      </c>
      <c r="H1541" s="193" t="s">
        <v>684</v>
      </c>
      <c r="I1541" s="252"/>
      <c r="J1541" s="252"/>
      <c r="K1541" s="615">
        <v>20000000</v>
      </c>
      <c r="L1541" s="877" t="s">
        <v>24</v>
      </c>
      <c r="M1541" s="877" t="s">
        <v>48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>x</v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30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88"/>
        <v>9</v>
      </c>
      <c r="C1542" s="191">
        <v>41181</v>
      </c>
      <c r="D1542" s="184" t="s">
        <v>364</v>
      </c>
      <c r="E1542" s="184">
        <v>41181</v>
      </c>
      <c r="F1542" s="189" t="s">
        <v>400</v>
      </c>
      <c r="G1542" s="488" t="s">
        <v>361</v>
      </c>
      <c r="H1542" s="7" t="s">
        <v>436</v>
      </c>
      <c r="I1542" s="252"/>
      <c r="J1542" s="252"/>
      <c r="K1542" s="615">
        <v>20000000</v>
      </c>
      <c r="L1542" s="616" t="s">
        <v>8</v>
      </c>
      <c r="M1542" s="877" t="s">
        <v>24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>x</v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/>
      <c r="AB1542" s="198"/>
      <c r="AC1542" s="198"/>
      <c r="AD1542" s="198"/>
    </row>
    <row r="1543" spans="1:30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88"/>
        <v>9</v>
      </c>
      <c r="C1543" s="191">
        <v>41181</v>
      </c>
      <c r="D1543" s="184" t="s">
        <v>364</v>
      </c>
      <c r="E1543" s="184">
        <v>41181</v>
      </c>
      <c r="F1543" s="189" t="s">
        <v>366</v>
      </c>
      <c r="G1543" s="189" t="s">
        <v>361</v>
      </c>
      <c r="H1543" s="193"/>
      <c r="I1543" s="252"/>
      <c r="J1543" s="252"/>
      <c r="K1543" s="615">
        <v>20000</v>
      </c>
      <c r="L1543" s="877" t="s">
        <v>84</v>
      </c>
      <c r="M1543" s="877" t="s">
        <v>24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>x</v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198"/>
      <c r="AB1543" s="198"/>
      <c r="AC1543" s="198"/>
      <c r="AD1543" s="198"/>
    </row>
    <row r="1544" spans="1:30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88"/>
        <v>9</v>
      </c>
      <c r="C1544" s="191">
        <v>41181</v>
      </c>
      <c r="D1544" s="184" t="s">
        <v>364</v>
      </c>
      <c r="E1544" s="184">
        <v>41181</v>
      </c>
      <c r="F1544" s="189" t="s">
        <v>730</v>
      </c>
      <c r="G1544" s="488" t="s">
        <v>361</v>
      </c>
      <c r="H1544" s="193"/>
      <c r="I1544" s="252"/>
      <c r="J1544" s="252"/>
      <c r="K1544" s="615">
        <v>10000</v>
      </c>
      <c r="L1544" s="877" t="s">
        <v>84</v>
      </c>
      <c r="M1544" s="877" t="s">
        <v>24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>x</v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88"/>
        <v>9</v>
      </c>
      <c r="C1545" s="740">
        <f t="shared" ref="C1545:C1550" si="90">E1545</f>
        <v>41182</v>
      </c>
      <c r="D1545" s="740" t="s">
        <v>367</v>
      </c>
      <c r="E1545" s="853">
        <v>41182</v>
      </c>
      <c r="F1545" s="741" t="s">
        <v>1584</v>
      </c>
      <c r="G1545" s="742"/>
      <c r="H1545" s="629"/>
      <c r="I1545" s="487"/>
      <c r="J1545" s="487"/>
      <c r="K1545" s="743">
        <v>9325000</v>
      </c>
      <c r="L1545" s="744" t="s">
        <v>84</v>
      </c>
      <c r="M1545" s="744" t="s">
        <v>287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B1545" s="606"/>
      <c r="AC1545" s="606"/>
      <c r="AD1545" s="606"/>
    </row>
    <row r="1546" spans="1:30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88"/>
        <v>9</v>
      </c>
      <c r="C1546" s="740">
        <f t="shared" si="90"/>
        <v>41182</v>
      </c>
      <c r="D1546" s="740" t="s">
        <v>367</v>
      </c>
      <c r="E1546" s="853">
        <v>41182</v>
      </c>
      <c r="F1546" s="741" t="s">
        <v>511</v>
      </c>
      <c r="G1546" s="742"/>
      <c r="H1546" s="629"/>
      <c r="I1546" s="487"/>
      <c r="J1546" s="487"/>
      <c r="K1546" s="743">
        <v>13450000</v>
      </c>
      <c r="L1546" s="744" t="s">
        <v>175</v>
      </c>
      <c r="M1546" s="744" t="s">
        <v>287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B1546" s="606"/>
      <c r="AC1546" s="606"/>
      <c r="AD1546" s="606"/>
    </row>
    <row r="1547" spans="1:30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88"/>
        <v>9</v>
      </c>
      <c r="C1547" s="740">
        <f t="shared" si="90"/>
        <v>41182</v>
      </c>
      <c r="D1547" s="740" t="s">
        <v>1691</v>
      </c>
      <c r="E1547" s="853">
        <v>41182</v>
      </c>
      <c r="F1547" s="741" t="str">
        <f>"Thanh toán tiền lương tháng "&amp;MONTH(E1547)&amp;"/"&amp;YEAR(E1547)</f>
        <v>Thanh toán tiền lương tháng 9/2012</v>
      </c>
      <c r="G1547" s="742"/>
      <c r="H1547" s="45" t="s">
        <v>684</v>
      </c>
      <c r="I1547" s="487"/>
      <c r="J1547" s="487"/>
      <c r="K1547" s="743">
        <f>K1545+K1546</f>
        <v>22775000</v>
      </c>
      <c r="L1547" s="744" t="s">
        <v>287</v>
      </c>
      <c r="M1547" s="744" t="s">
        <v>48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B1547" s="606"/>
      <c r="AC1547" s="606"/>
      <c r="AD1547" s="606"/>
    </row>
    <row r="1548" spans="1:30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88"/>
        <v>10</v>
      </c>
      <c r="C1548" s="740">
        <f t="shared" si="90"/>
        <v>41183</v>
      </c>
      <c r="D1548" s="740" t="s">
        <v>367</v>
      </c>
      <c r="E1548" s="853">
        <v>41183</v>
      </c>
      <c r="F1548" s="741" t="s">
        <v>509</v>
      </c>
      <c r="G1548" s="742"/>
      <c r="H1548" s="629"/>
      <c r="I1548" s="487"/>
      <c r="J1548" s="487"/>
      <c r="K1548" s="743">
        <v>18250000</v>
      </c>
      <c r="L1548" s="744" t="s">
        <v>175</v>
      </c>
      <c r="M1548" s="744" t="s">
        <v>285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606"/>
      <c r="AB1548" s="606"/>
      <c r="AC1548" s="606"/>
      <c r="AD1548" s="606"/>
    </row>
    <row r="1549" spans="1:30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88"/>
        <v>10</v>
      </c>
      <c r="C1549" s="191">
        <f t="shared" si="90"/>
        <v>41183</v>
      </c>
      <c r="D1549" s="191" t="s">
        <v>1585</v>
      </c>
      <c r="E1549" s="191">
        <v>41183</v>
      </c>
      <c r="F1549" s="189" t="s">
        <v>1145</v>
      </c>
      <c r="G1549" s="490" t="s">
        <v>1066</v>
      </c>
      <c r="H1549" s="193" t="s">
        <v>910</v>
      </c>
      <c r="I1549" s="252">
        <v>508</v>
      </c>
      <c r="J1549" s="252">
        <v>11020</v>
      </c>
      <c r="K1549" s="38">
        <f>ROUND(I1549*J1549,0)</f>
        <v>5598160</v>
      </c>
      <c r="L1549" s="194" t="s">
        <v>284</v>
      </c>
      <c r="M1549" s="194" t="s">
        <v>185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88"/>
        <v>10</v>
      </c>
      <c r="C1550" s="191">
        <f t="shared" si="90"/>
        <v>41183</v>
      </c>
      <c r="D1550" s="191" t="s">
        <v>1585</v>
      </c>
      <c r="E1550" s="191">
        <v>41183</v>
      </c>
      <c r="F1550" s="192" t="s">
        <v>555</v>
      </c>
      <c r="G1550" s="490" t="s">
        <v>1066</v>
      </c>
      <c r="H1550" s="193" t="s">
        <v>910</v>
      </c>
      <c r="I1550" s="252"/>
      <c r="J1550" s="252"/>
      <c r="K1550" s="38">
        <v>559816</v>
      </c>
      <c r="L1550" s="194" t="s">
        <v>284</v>
      </c>
      <c r="M1550" s="194" t="s">
        <v>495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customHeight="1">
      <c r="A1551" s="204" t="str">
        <f>IF(B1551&lt;&gt;"",IF(AND(B1551&gt;=_TM1,B1551&lt;=_TM2,OR(TH!L1551="1111",TH!M1551="1111")),TH!D1551,""),"")</f>
        <v>C01</v>
      </c>
      <c r="B1551" s="36">
        <f t="shared" si="88"/>
        <v>10</v>
      </c>
      <c r="C1551" s="191">
        <v>41184</v>
      </c>
      <c r="D1551" s="184" t="s">
        <v>410</v>
      </c>
      <c r="E1551" s="184">
        <v>41184</v>
      </c>
      <c r="F1551" s="189" t="s">
        <v>396</v>
      </c>
      <c r="G1551" s="189" t="s">
        <v>361</v>
      </c>
      <c r="H1551" s="193" t="s">
        <v>684</v>
      </c>
      <c r="I1551" s="252"/>
      <c r="J1551" s="252"/>
      <c r="K1551" s="615">
        <v>5000000</v>
      </c>
      <c r="L1551" s="877" t="s">
        <v>24</v>
      </c>
      <c r="M1551" s="877" t="s">
        <v>48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88"/>
        <v>10</v>
      </c>
      <c r="C1552" s="191">
        <v>41184</v>
      </c>
      <c r="D1552" s="191" t="s">
        <v>364</v>
      </c>
      <c r="E1552" s="191">
        <v>41184</v>
      </c>
      <c r="F1552" s="192" t="s">
        <v>400</v>
      </c>
      <c r="G1552" s="691" t="s">
        <v>361</v>
      </c>
      <c r="H1552" s="7" t="s">
        <v>436</v>
      </c>
      <c r="I1552" s="252"/>
      <c r="J1552" s="878"/>
      <c r="K1552" s="38">
        <v>5000000</v>
      </c>
      <c r="L1552" s="616" t="s">
        <v>8</v>
      </c>
      <c r="M1552" s="194" t="s">
        <v>24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>x</v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198"/>
      <c r="AB1552" s="198"/>
      <c r="AC1552" s="198"/>
      <c r="AD1552" s="198"/>
    </row>
    <row r="1553" spans="1:30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88"/>
        <v>10</v>
      </c>
      <c r="C1553" s="191">
        <v>41184</v>
      </c>
      <c r="D1553" s="191" t="s">
        <v>364</v>
      </c>
      <c r="E1553" s="191">
        <v>41184</v>
      </c>
      <c r="F1553" s="192" t="s">
        <v>366</v>
      </c>
      <c r="G1553" s="192" t="s">
        <v>361</v>
      </c>
      <c r="H1553" s="193"/>
      <c r="I1553" s="252"/>
      <c r="J1553" s="252"/>
      <c r="K1553" s="38">
        <v>20000</v>
      </c>
      <c r="L1553" s="194" t="s">
        <v>84</v>
      </c>
      <c r="M1553" s="194" t="s">
        <v>24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>x</v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198"/>
      <c r="AB1553" s="198"/>
      <c r="AC1553" s="198"/>
      <c r="AD1553" s="198"/>
    </row>
    <row r="1554" spans="1:30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88"/>
        <v>10</v>
      </c>
      <c r="C1554" s="191">
        <v>41184</v>
      </c>
      <c r="D1554" s="191" t="s">
        <v>364</v>
      </c>
      <c r="E1554" s="191">
        <v>41184</v>
      </c>
      <c r="F1554" s="192" t="s">
        <v>730</v>
      </c>
      <c r="G1554" s="192" t="s">
        <v>361</v>
      </c>
      <c r="H1554" s="193"/>
      <c r="I1554" s="252"/>
      <c r="J1554" s="252"/>
      <c r="K1554" s="38">
        <v>10000</v>
      </c>
      <c r="L1554" s="194" t="s">
        <v>84</v>
      </c>
      <c r="M1554" s="194" t="s">
        <v>24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>x</v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88"/>
        <v>10</v>
      </c>
      <c r="C1555" s="191">
        <v>41185</v>
      </c>
      <c r="D1555" s="191" t="s">
        <v>461</v>
      </c>
      <c r="E1555" s="191">
        <v>41185</v>
      </c>
      <c r="F1555" s="192" t="s">
        <v>1363</v>
      </c>
      <c r="G1555" s="192" t="s">
        <v>879</v>
      </c>
      <c r="H1555" s="7" t="s">
        <v>436</v>
      </c>
      <c r="I1555" s="252">
        <v>3000</v>
      </c>
      <c r="J1555" s="252">
        <v>19979</v>
      </c>
      <c r="K1555" s="38">
        <v>59937000</v>
      </c>
      <c r="L1555" s="194" t="s">
        <v>169</v>
      </c>
      <c r="M1555" s="616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198"/>
      <c r="AB1555" s="606"/>
      <c r="AC1555" s="198"/>
      <c r="AD1555" s="198"/>
    </row>
    <row r="1556" spans="1:30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88"/>
        <v>10</v>
      </c>
      <c r="C1556" s="191">
        <v>41185</v>
      </c>
      <c r="D1556" s="191" t="s">
        <v>461</v>
      </c>
      <c r="E1556" s="191">
        <v>41185</v>
      </c>
      <c r="F1556" s="192" t="s">
        <v>566</v>
      </c>
      <c r="G1556" s="192" t="s">
        <v>879</v>
      </c>
      <c r="H1556" s="7" t="s">
        <v>436</v>
      </c>
      <c r="I1556" s="252"/>
      <c r="J1556" s="252"/>
      <c r="K1556" s="38">
        <v>5993700</v>
      </c>
      <c r="L1556" s="194" t="s">
        <v>9</v>
      </c>
      <c r="M1556" s="616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198">
        <v>10</v>
      </c>
      <c r="AB1556" s="198"/>
      <c r="AC1556" s="198"/>
      <c r="AD1556" s="198"/>
    </row>
    <row r="1557" spans="1:30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ref="B1557:B1620" si="91">IF(C1557&lt;&gt;"",MONTH(C1557),"")</f>
        <v>10</v>
      </c>
      <c r="C1557" s="191">
        <v>41187</v>
      </c>
      <c r="D1557" s="191" t="s">
        <v>363</v>
      </c>
      <c r="E1557" s="191">
        <v>41187</v>
      </c>
      <c r="F1557" s="192" t="s">
        <v>365</v>
      </c>
      <c r="G1557" s="192" t="s">
        <v>361</v>
      </c>
      <c r="H1557" s="7" t="s">
        <v>500</v>
      </c>
      <c r="I1557" s="252"/>
      <c r="J1557" s="252"/>
      <c r="K1557" s="38">
        <v>12277760</v>
      </c>
      <c r="L1557" s="194" t="s">
        <v>24</v>
      </c>
      <c r="M1557" s="194" t="s">
        <v>284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>x</v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198"/>
      <c r="AB1557" s="198"/>
      <c r="AC1557" s="198"/>
      <c r="AD1557" s="198"/>
    </row>
    <row r="1558" spans="1:30" ht="15.75" customHeight="1">
      <c r="A1558" s="204" t="str">
        <f>IF(B1558&lt;&gt;"",IF(AND(B1558&gt;=_TM1,B1558&lt;=_TM2,OR(TH!L1558="1111",TH!M1558="1111")),TH!D1558,""),"")</f>
        <v>C02</v>
      </c>
      <c r="B1558" s="36">
        <f t="shared" si="91"/>
        <v>10</v>
      </c>
      <c r="C1558" s="191">
        <v>41191</v>
      </c>
      <c r="D1558" s="191" t="s">
        <v>411</v>
      </c>
      <c r="E1558" s="191">
        <v>41191</v>
      </c>
      <c r="F1558" s="192" t="s">
        <v>396</v>
      </c>
      <c r="G1558" s="490" t="s">
        <v>361</v>
      </c>
      <c r="H1558" s="193" t="s">
        <v>684</v>
      </c>
      <c r="I1558" s="252"/>
      <c r="J1558" s="252"/>
      <c r="K1558" s="38">
        <v>48000000</v>
      </c>
      <c r="L1558" s="194" t="s">
        <v>24</v>
      </c>
      <c r="M1558" s="194" t="s">
        <v>48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>x</v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v>41191</v>
      </c>
      <c r="D1559" s="191" t="s">
        <v>363</v>
      </c>
      <c r="E1559" s="191">
        <v>41191</v>
      </c>
      <c r="F1559" s="192" t="s">
        <v>365</v>
      </c>
      <c r="G1559" s="490" t="s">
        <v>361</v>
      </c>
      <c r="H1559" s="193" t="s">
        <v>700</v>
      </c>
      <c r="I1559" s="252"/>
      <c r="J1559" s="252"/>
      <c r="K1559" s="38">
        <v>7747740</v>
      </c>
      <c r="L1559" s="194" t="s">
        <v>24</v>
      </c>
      <c r="M1559" s="194" t="s">
        <v>284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>x</v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v>41191</v>
      </c>
      <c r="D1560" s="191" t="s">
        <v>364</v>
      </c>
      <c r="E1560" s="191">
        <v>41191</v>
      </c>
      <c r="F1560" s="192" t="s">
        <v>400</v>
      </c>
      <c r="G1560" s="490" t="s">
        <v>361</v>
      </c>
      <c r="H1560" s="7" t="s">
        <v>436</v>
      </c>
      <c r="I1560" s="252"/>
      <c r="J1560" s="252"/>
      <c r="K1560" s="38">
        <v>50000000</v>
      </c>
      <c r="L1560" s="616" t="s">
        <v>8</v>
      </c>
      <c r="M1560" s="194" t="s">
        <v>24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>x</v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30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v>41191</v>
      </c>
      <c r="D1561" s="191" t="s">
        <v>364</v>
      </c>
      <c r="E1561" s="191">
        <v>41191</v>
      </c>
      <c r="F1561" s="192" t="s">
        <v>366</v>
      </c>
      <c r="G1561" s="490" t="s">
        <v>361</v>
      </c>
      <c r="H1561" s="193"/>
      <c r="I1561" s="252"/>
      <c r="J1561" s="252"/>
      <c r="K1561" s="38">
        <v>25000</v>
      </c>
      <c r="L1561" s="194" t="s">
        <v>84</v>
      </c>
      <c r="M1561" s="194" t="s">
        <v>24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>x</v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198"/>
      <c r="AB1561" s="198"/>
      <c r="AC1561" s="198"/>
      <c r="AD1561" s="198"/>
    </row>
    <row r="1562" spans="1:30" ht="15.75" customHeight="1">
      <c r="A1562" s="204" t="str">
        <f>IF(B1562&lt;&gt;"",IF(AND(B1562&gt;=_TM1,B1562&lt;=_TM2,OR(TH!L1562="1111",TH!M1562="1111")),TH!D1562,""),"")</f>
        <v/>
      </c>
      <c r="B1562" s="36">
        <f t="shared" si="91"/>
        <v>10</v>
      </c>
      <c r="C1562" s="191">
        <v>41191</v>
      </c>
      <c r="D1562" s="191" t="s">
        <v>364</v>
      </c>
      <c r="E1562" s="191">
        <v>41191</v>
      </c>
      <c r="F1562" s="192" t="s">
        <v>400</v>
      </c>
      <c r="G1562" s="490" t="s">
        <v>361</v>
      </c>
      <c r="H1562" s="7" t="s">
        <v>436</v>
      </c>
      <c r="I1562" s="252"/>
      <c r="J1562" s="252"/>
      <c r="K1562" s="38">
        <v>10000000</v>
      </c>
      <c r="L1562" s="616" t="s">
        <v>8</v>
      </c>
      <c r="M1562" s="194" t="s">
        <v>24</v>
      </c>
      <c r="N1562" s="52" t="str">
        <f>IF(AND('331-CT'!$E$7=TH!H1562,OR(L1562="331",M1562="331")),"331",IF(AND(OR(L1562="131",M1562="131"),H1562='131-CT'!$E$7),"131",""))</f>
        <v>331</v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>x</v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30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41191</v>
      </c>
      <c r="D1563" s="191" t="s">
        <v>364</v>
      </c>
      <c r="E1563" s="191">
        <v>41191</v>
      </c>
      <c r="F1563" s="192" t="s">
        <v>366</v>
      </c>
      <c r="G1563" s="490" t="s">
        <v>361</v>
      </c>
      <c r="H1563" s="193"/>
      <c r="I1563" s="252"/>
      <c r="J1563" s="252"/>
      <c r="K1563" s="38">
        <v>20000</v>
      </c>
      <c r="L1563" s="194" t="s">
        <v>84</v>
      </c>
      <c r="M1563" s="194" t="s">
        <v>24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198"/>
      <c r="AB1563" s="198"/>
      <c r="AC1563" s="198"/>
      <c r="AD1563" s="198"/>
    </row>
    <row r="1564" spans="1:30" ht="15.75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41191</v>
      </c>
      <c r="D1564" s="191" t="s">
        <v>364</v>
      </c>
      <c r="E1564" s="191">
        <v>41191</v>
      </c>
      <c r="F1564" s="192" t="s">
        <v>730</v>
      </c>
      <c r="G1564" s="490" t="s">
        <v>361</v>
      </c>
      <c r="H1564" s="193"/>
      <c r="I1564" s="252"/>
      <c r="J1564" s="252"/>
      <c r="K1564" s="38">
        <v>14289</v>
      </c>
      <c r="L1564" s="194" t="s">
        <v>84</v>
      </c>
      <c r="M1564" s="194" t="s">
        <v>24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>x</v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30" ht="15.75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f t="shared" ref="C1565:C1576" si="92">E1565</f>
        <v>41194</v>
      </c>
      <c r="D1565" s="191" t="s">
        <v>1586</v>
      </c>
      <c r="E1565" s="191">
        <v>41194</v>
      </c>
      <c r="F1565" s="192" t="s">
        <v>1132</v>
      </c>
      <c r="G1565" s="490" t="s">
        <v>433</v>
      </c>
      <c r="H1565" s="193" t="s">
        <v>958</v>
      </c>
      <c r="I1565" s="252">
        <v>500</v>
      </c>
      <c r="J1565" s="252">
        <v>11000</v>
      </c>
      <c r="K1565" s="38">
        <f>ROUND(I1565*J1565,0)</f>
        <v>5500000</v>
      </c>
      <c r="L1565" s="194" t="s">
        <v>284</v>
      </c>
      <c r="M1565" s="194" t="s">
        <v>185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211"/>
      <c r="AB1565" s="211"/>
      <c r="AC1565" s="211"/>
      <c r="AD1565" s="211"/>
    </row>
    <row r="1566" spans="1:30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f t="shared" si="92"/>
        <v>41194</v>
      </c>
      <c r="D1566" s="191" t="s">
        <v>1586</v>
      </c>
      <c r="E1566" s="191">
        <v>41194</v>
      </c>
      <c r="F1566" s="189" t="s">
        <v>1121</v>
      </c>
      <c r="G1566" s="490" t="s">
        <v>433</v>
      </c>
      <c r="H1566" s="193" t="s">
        <v>958</v>
      </c>
      <c r="I1566" s="252">
        <v>508</v>
      </c>
      <c r="J1566" s="252">
        <v>8000</v>
      </c>
      <c r="K1566" s="38">
        <f>ROUND(I1566*J1566,0)</f>
        <v>4064000</v>
      </c>
      <c r="L1566" s="194" t="s">
        <v>284</v>
      </c>
      <c r="M1566" s="194" t="s">
        <v>185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30" ht="15.75" customHeight="1">
      <c r="A1567" s="204" t="str">
        <f>IF(B1567&lt;&gt;"",IF(AND(B1567&gt;=_TM1,B1567&lt;=_TM2,OR(TH!L1567="1111",TH!M1567="1111")),TH!D1567,""),"")</f>
        <v/>
      </c>
      <c r="B1567" s="36">
        <f t="shared" si="91"/>
        <v>10</v>
      </c>
      <c r="C1567" s="191">
        <f t="shared" si="92"/>
        <v>41194</v>
      </c>
      <c r="D1567" s="191" t="s">
        <v>1586</v>
      </c>
      <c r="E1567" s="191">
        <v>41194</v>
      </c>
      <c r="F1567" s="192" t="s">
        <v>555</v>
      </c>
      <c r="G1567" s="490" t="s">
        <v>433</v>
      </c>
      <c r="H1567" s="193" t="s">
        <v>958</v>
      </c>
      <c r="I1567" s="252"/>
      <c r="J1567" s="252"/>
      <c r="K1567" s="38">
        <v>956400</v>
      </c>
      <c r="L1567" s="194" t="s">
        <v>284</v>
      </c>
      <c r="M1567" s="194" t="s">
        <v>495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30" ht="15.75" customHeight="1">
      <c r="A1568" s="204" t="str">
        <f>IF(B1568&lt;&gt;"",IF(AND(B1568&gt;=_TM1,B1568&lt;=_TM2,OR(TH!L1568="1111",TH!M1568="1111")),TH!D1568,""),"")</f>
        <v>T01</v>
      </c>
      <c r="B1568" s="36">
        <f t="shared" si="91"/>
        <v>10</v>
      </c>
      <c r="C1568" s="191">
        <f t="shared" si="92"/>
        <v>41194</v>
      </c>
      <c r="D1568" s="191" t="s">
        <v>408</v>
      </c>
      <c r="E1568" s="191">
        <v>41194</v>
      </c>
      <c r="F1568" s="192" t="s">
        <v>365</v>
      </c>
      <c r="G1568" s="490" t="s">
        <v>433</v>
      </c>
      <c r="H1568" s="193" t="s">
        <v>958</v>
      </c>
      <c r="I1568" s="252"/>
      <c r="J1568" s="252"/>
      <c r="K1568" s="38">
        <v>10520400</v>
      </c>
      <c r="L1568" s="194" t="s">
        <v>48</v>
      </c>
      <c r="M1568" s="194" t="s">
        <v>284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30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f t="shared" si="92"/>
        <v>41194</v>
      </c>
      <c r="D1569" s="191" t="s">
        <v>1587</v>
      </c>
      <c r="E1569" s="191">
        <v>41194</v>
      </c>
      <c r="F1569" s="192" t="s">
        <v>1143</v>
      </c>
      <c r="G1569" s="490" t="s">
        <v>622</v>
      </c>
      <c r="H1569" s="45" t="s">
        <v>891</v>
      </c>
      <c r="I1569" s="252">
        <v>1000</v>
      </c>
      <c r="J1569" s="252">
        <v>11500</v>
      </c>
      <c r="K1569" s="38">
        <f>ROUND(I1569*J1569,0)</f>
        <v>11500000</v>
      </c>
      <c r="L1569" s="194" t="s">
        <v>284</v>
      </c>
      <c r="M1569" s="194" t="s">
        <v>185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30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f t="shared" si="92"/>
        <v>41194</v>
      </c>
      <c r="D1570" s="191" t="s">
        <v>1587</v>
      </c>
      <c r="E1570" s="191">
        <v>41194</v>
      </c>
      <c r="F1570" s="192" t="s">
        <v>1142</v>
      </c>
      <c r="G1570" s="490" t="s">
        <v>622</v>
      </c>
      <c r="H1570" s="45" t="s">
        <v>891</v>
      </c>
      <c r="I1570" s="252">
        <v>200</v>
      </c>
      <c r="J1570" s="252">
        <v>13500</v>
      </c>
      <c r="K1570" s="38">
        <f>ROUND(I1570*J1570,0)</f>
        <v>2700000</v>
      </c>
      <c r="L1570" s="194" t="s">
        <v>284</v>
      </c>
      <c r="M1570" s="194" t="s">
        <v>185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30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f t="shared" si="92"/>
        <v>41194</v>
      </c>
      <c r="D1571" s="191" t="s">
        <v>1587</v>
      </c>
      <c r="E1571" s="191">
        <v>41194</v>
      </c>
      <c r="F1571" s="192" t="s">
        <v>1144</v>
      </c>
      <c r="G1571" s="490" t="s">
        <v>622</v>
      </c>
      <c r="H1571" s="45" t="s">
        <v>891</v>
      </c>
      <c r="I1571" s="252">
        <v>100</v>
      </c>
      <c r="J1571" s="252">
        <v>12900</v>
      </c>
      <c r="K1571" s="38">
        <f>ROUND(I1571*J1571,0)</f>
        <v>1290000</v>
      </c>
      <c r="L1571" s="194" t="s">
        <v>284</v>
      </c>
      <c r="M1571" s="194" t="s">
        <v>185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30" ht="15.75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f t="shared" si="92"/>
        <v>41194</v>
      </c>
      <c r="D1572" s="191" t="s">
        <v>1587</v>
      </c>
      <c r="E1572" s="191">
        <v>41194</v>
      </c>
      <c r="F1572" s="192" t="s">
        <v>555</v>
      </c>
      <c r="G1572" s="490" t="s">
        <v>622</v>
      </c>
      <c r="H1572" s="45" t="s">
        <v>891</v>
      </c>
      <c r="I1572" s="252"/>
      <c r="J1572" s="252"/>
      <c r="K1572" s="38">
        <v>1549000</v>
      </c>
      <c r="L1572" s="194" t="s">
        <v>284</v>
      </c>
      <c r="M1572" s="194" t="s">
        <v>495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30" ht="15.75" customHeight="1">
      <c r="A1573" s="204" t="str">
        <f>IF(B1573&lt;&gt;"",IF(AND(B1573&gt;=_TM1,B1573&lt;=_TM2,OR(TH!L1573="1111",TH!M1573="1111")),TH!D1573,""),"")</f>
        <v/>
      </c>
      <c r="B1573" s="36">
        <f t="shared" si="91"/>
        <v>10</v>
      </c>
      <c r="C1573" s="191">
        <f t="shared" si="92"/>
        <v>41195</v>
      </c>
      <c r="D1573" s="191" t="s">
        <v>1588</v>
      </c>
      <c r="E1573" s="191">
        <v>41195</v>
      </c>
      <c r="F1573" s="192" t="s">
        <v>1143</v>
      </c>
      <c r="G1573" s="490" t="s">
        <v>1067</v>
      </c>
      <c r="H1573" s="45" t="s">
        <v>891</v>
      </c>
      <c r="I1573" s="252">
        <v>1000</v>
      </c>
      <c r="J1573" s="252">
        <v>11500</v>
      </c>
      <c r="K1573" s="38">
        <f>ROUND(I1573*J1573,0)</f>
        <v>11500000</v>
      </c>
      <c r="L1573" s="194" t="s">
        <v>284</v>
      </c>
      <c r="M1573" s="194" t="s">
        <v>185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211"/>
      <c r="AB1573" s="211"/>
      <c r="AC1573" s="211"/>
      <c r="AD1573" s="211"/>
    </row>
    <row r="1574" spans="1:30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si="92"/>
        <v>41195</v>
      </c>
      <c r="D1574" s="191" t="s">
        <v>1588</v>
      </c>
      <c r="E1574" s="191">
        <v>41195</v>
      </c>
      <c r="F1574" s="192" t="s">
        <v>1142</v>
      </c>
      <c r="G1574" s="490" t="s">
        <v>1067</v>
      </c>
      <c r="H1574" s="45" t="s">
        <v>891</v>
      </c>
      <c r="I1574" s="252">
        <v>300</v>
      </c>
      <c r="J1574" s="252">
        <v>13500</v>
      </c>
      <c r="K1574" s="38">
        <f>ROUND(I1574*J1574,0)</f>
        <v>4050000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2"/>
        <v>41195</v>
      </c>
      <c r="D1575" s="191" t="s">
        <v>1588</v>
      </c>
      <c r="E1575" s="191">
        <v>41195</v>
      </c>
      <c r="F1575" s="192" t="s">
        <v>1141</v>
      </c>
      <c r="G1575" s="490" t="s">
        <v>1067</v>
      </c>
      <c r="H1575" s="45" t="s">
        <v>891</v>
      </c>
      <c r="I1575" s="252">
        <v>100</v>
      </c>
      <c r="J1575" s="252">
        <v>10800</v>
      </c>
      <c r="K1575" s="38">
        <f>ROUND(I1575*J1575,0)</f>
        <v>1080000</v>
      </c>
      <c r="L1575" s="194" t="s">
        <v>284</v>
      </c>
      <c r="M1575" s="194" t="s">
        <v>185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2"/>
        <v>41195</v>
      </c>
      <c r="D1576" s="191" t="s">
        <v>1588</v>
      </c>
      <c r="E1576" s="191">
        <v>41195</v>
      </c>
      <c r="F1576" s="192" t="s">
        <v>555</v>
      </c>
      <c r="G1576" s="490" t="s">
        <v>1067</v>
      </c>
      <c r="H1576" s="45" t="s">
        <v>891</v>
      </c>
      <c r="I1576" s="252"/>
      <c r="J1576" s="252"/>
      <c r="K1576" s="38">
        <v>1663000</v>
      </c>
      <c r="L1576" s="194" t="s">
        <v>284</v>
      </c>
      <c r="M1576" s="194" t="s">
        <v>495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198"/>
      <c r="AB1576" s="198"/>
      <c r="AC1576" s="198"/>
      <c r="AD1576" s="198"/>
    </row>
    <row r="1577" spans="1:30" ht="15.75" customHeight="1">
      <c r="A1577" s="204" t="str">
        <f>IF(B1577&lt;&gt;"",IF(AND(B1577&gt;=_TM1,B1577&lt;=_TM2,OR(TH!L1577="1111",TH!M1577="1111")),TH!D1577,""),"")</f>
        <v>T02</v>
      </c>
      <c r="B1577" s="36">
        <f t="shared" si="91"/>
        <v>10</v>
      </c>
      <c r="C1577" s="191">
        <v>41197</v>
      </c>
      <c r="D1577" s="191" t="s">
        <v>409</v>
      </c>
      <c r="E1577" s="191">
        <v>41197</v>
      </c>
      <c r="F1577" s="192" t="s">
        <v>559</v>
      </c>
      <c r="G1577" s="192" t="s">
        <v>361</v>
      </c>
      <c r="H1577" s="193" t="s">
        <v>684</v>
      </c>
      <c r="I1577" s="252"/>
      <c r="J1577" s="252"/>
      <c r="K1577" s="38">
        <v>8000000</v>
      </c>
      <c r="L1577" s="194" t="s">
        <v>48</v>
      </c>
      <c r="M1577" s="194" t="s">
        <v>24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>x</v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30" s="211" customFormat="1" ht="15.75" customHeight="1">
      <c r="A1578" s="204" t="str">
        <f>IF(B1578&lt;&gt;"",IF(AND(B1578&gt;=_TM1,B1578&lt;=_TM2,OR(TH!L1578="1111",TH!M1578="1111")),TH!D1578,""),"")</f>
        <v>C03</v>
      </c>
      <c r="B1578" s="36">
        <f t="shared" si="91"/>
        <v>10</v>
      </c>
      <c r="C1578" s="191">
        <v>41197</v>
      </c>
      <c r="D1578" s="191" t="s">
        <v>412</v>
      </c>
      <c r="E1578" s="191">
        <v>41197</v>
      </c>
      <c r="F1578" s="192" t="s">
        <v>880</v>
      </c>
      <c r="G1578" s="490" t="s">
        <v>881</v>
      </c>
      <c r="H1578" s="193" t="s">
        <v>401</v>
      </c>
      <c r="I1578" s="252"/>
      <c r="J1578" s="252"/>
      <c r="K1578" s="38">
        <v>2000000</v>
      </c>
      <c r="L1578" s="194" t="s">
        <v>175</v>
      </c>
      <c r="M1578" s="194" t="s">
        <v>48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198"/>
      <c r="AB1578" s="198"/>
      <c r="AC1578" s="198"/>
      <c r="AD1578" s="198"/>
    </row>
    <row r="1579" spans="1:30" ht="15.75" customHeight="1">
      <c r="A1579" s="204" t="str">
        <f>IF(B1579&lt;&gt;"",IF(AND(B1579&gt;=_TM1,B1579&lt;=_TM2,OR(TH!L1579="1111",TH!M1579="1111")),TH!D1579,""),"")</f>
        <v>C03</v>
      </c>
      <c r="B1579" s="36">
        <f t="shared" si="91"/>
        <v>10</v>
      </c>
      <c r="C1579" s="191">
        <v>41197</v>
      </c>
      <c r="D1579" s="191" t="s">
        <v>412</v>
      </c>
      <c r="E1579" s="191">
        <v>41197</v>
      </c>
      <c r="F1579" s="192" t="s">
        <v>372</v>
      </c>
      <c r="G1579" s="490" t="s">
        <v>881</v>
      </c>
      <c r="H1579" s="193" t="s">
        <v>401</v>
      </c>
      <c r="I1579" s="252"/>
      <c r="J1579" s="252"/>
      <c r="K1579" s="38">
        <v>200000</v>
      </c>
      <c r="L1579" s="194" t="s">
        <v>9</v>
      </c>
      <c r="M1579" s="194" t="s">
        <v>48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198">
        <v>10</v>
      </c>
    </row>
    <row r="1580" spans="1:30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91"/>
        <v>10</v>
      </c>
      <c r="C1580" s="191">
        <v>41197</v>
      </c>
      <c r="D1580" s="191" t="s">
        <v>462</v>
      </c>
      <c r="E1580" s="191">
        <v>41197</v>
      </c>
      <c r="F1580" s="192" t="s">
        <v>1363</v>
      </c>
      <c r="G1580" s="490" t="s">
        <v>882</v>
      </c>
      <c r="H1580" s="7" t="s">
        <v>436</v>
      </c>
      <c r="I1580" s="252">
        <v>1500</v>
      </c>
      <c r="J1580" s="252">
        <v>19979</v>
      </c>
      <c r="K1580" s="38">
        <v>29968500</v>
      </c>
      <c r="L1580" s="194" t="s">
        <v>169</v>
      </c>
      <c r="M1580" s="616" t="s">
        <v>8</v>
      </c>
      <c r="N1580" s="52" t="str">
        <f>IF(AND('331-CT'!$E$7=TH!H1580,OR(L1580="331",M1580="331")),"331",IF(AND(OR(L1580="131",M1580="131"),H1580='131-CT'!$E$7),"131",""))</f>
        <v>331</v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606"/>
      <c r="AC1580" s="198"/>
      <c r="AD1580" s="198"/>
    </row>
    <row r="1581" spans="1:30" ht="15.75" customHeight="1">
      <c r="A1581" s="204" t="str">
        <f>IF(B1581&lt;&gt;"",IF(AND(B1581&gt;=_TM1,B1581&lt;=_TM2,OR(TH!L1581="1111",TH!M1581="1111")),TH!D1581,""),"")</f>
        <v/>
      </c>
      <c r="B1581" s="36">
        <f t="shared" si="91"/>
        <v>10</v>
      </c>
      <c r="C1581" s="191">
        <v>41197</v>
      </c>
      <c r="D1581" s="191" t="s">
        <v>462</v>
      </c>
      <c r="E1581" s="191">
        <v>41197</v>
      </c>
      <c r="F1581" s="192" t="s">
        <v>1363</v>
      </c>
      <c r="G1581" s="490" t="s">
        <v>882</v>
      </c>
      <c r="H1581" s="7" t="s">
        <v>436</v>
      </c>
      <c r="I1581" s="252">
        <v>140</v>
      </c>
      <c r="J1581" s="252">
        <v>18628</v>
      </c>
      <c r="K1581" s="38">
        <v>2607920</v>
      </c>
      <c r="L1581" s="194" t="s">
        <v>169</v>
      </c>
      <c r="M1581" s="616" t="s">
        <v>8</v>
      </c>
      <c r="N1581" s="52" t="str">
        <f>IF(AND('331-CT'!$E$7=TH!H1581,OR(L1581="331",M1581="331")),"331",IF(AND(OR(L1581="131",M1581="131"),H1581='131-CT'!$E$7),"131",""))</f>
        <v>331</v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B1581" s="606"/>
    </row>
    <row r="1582" spans="1:30" ht="15.75" customHeight="1">
      <c r="A1582" s="204" t="str">
        <f>IF(B1582&lt;&gt;"",IF(AND(B1582&gt;=_TM1,B1582&lt;=_TM2,OR(TH!L1582="1111",TH!M1582="1111")),TH!D1582,""),"")</f>
        <v/>
      </c>
      <c r="B1582" s="36">
        <f t="shared" si="91"/>
        <v>10</v>
      </c>
      <c r="C1582" s="191">
        <v>41197</v>
      </c>
      <c r="D1582" s="191" t="s">
        <v>462</v>
      </c>
      <c r="E1582" s="191">
        <v>41197</v>
      </c>
      <c r="F1582" s="192" t="s">
        <v>566</v>
      </c>
      <c r="G1582" s="490" t="s">
        <v>882</v>
      </c>
      <c r="H1582" s="7" t="s">
        <v>436</v>
      </c>
      <c r="I1582" s="252"/>
      <c r="J1582" s="252"/>
      <c r="K1582" s="38">
        <v>3257642</v>
      </c>
      <c r="L1582" s="194" t="s">
        <v>9</v>
      </c>
      <c r="M1582" s="616" t="s">
        <v>8</v>
      </c>
      <c r="N1582" s="52" t="str">
        <f>IF(AND('331-CT'!$E$7=TH!H1582,OR(L1582="331",M1582="331")),"331",IF(AND(OR(L1582="131",M1582="131"),H1582='131-CT'!$E$7),"131",""))</f>
        <v>331</v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198">
        <v>10</v>
      </c>
    </row>
    <row r="1583" spans="1:30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91"/>
        <v>10</v>
      </c>
      <c r="C1583" s="191">
        <f>E1583</f>
        <v>41198</v>
      </c>
      <c r="D1583" s="191" t="s">
        <v>1589</v>
      </c>
      <c r="E1583" s="191">
        <v>41198</v>
      </c>
      <c r="F1583" s="192" t="s">
        <v>1140</v>
      </c>
      <c r="G1583" s="490" t="s">
        <v>434</v>
      </c>
      <c r="H1583" s="193" t="s">
        <v>958</v>
      </c>
      <c r="I1583" s="252">
        <v>495</v>
      </c>
      <c r="J1583" s="252">
        <v>8000</v>
      </c>
      <c r="K1583" s="38">
        <f>ROUND(I1583*J1583,0)</f>
        <v>3960000</v>
      </c>
      <c r="L1583" s="194" t="s">
        <v>284</v>
      </c>
      <c r="M1583" s="194" t="s">
        <v>185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30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91"/>
        <v>10</v>
      </c>
      <c r="C1584" s="191">
        <f>E1584</f>
        <v>41198</v>
      </c>
      <c r="D1584" s="191" t="s">
        <v>1589</v>
      </c>
      <c r="E1584" s="191">
        <v>41198</v>
      </c>
      <c r="F1584" s="192" t="s">
        <v>555</v>
      </c>
      <c r="G1584" s="490" t="s">
        <v>434</v>
      </c>
      <c r="H1584" s="193" t="s">
        <v>958</v>
      </c>
      <c r="I1584" s="252"/>
      <c r="J1584" s="252"/>
      <c r="K1584" s="38">
        <v>396000</v>
      </c>
      <c r="L1584" s="194" t="s">
        <v>284</v>
      </c>
      <c r="M1584" s="194" t="s">
        <v>495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198"/>
      <c r="AB1584" s="198"/>
      <c r="AC1584" s="198"/>
      <c r="AD1584" s="198"/>
    </row>
    <row r="1585" spans="1:30" ht="15.75" customHeight="1">
      <c r="A1585" s="204" t="str">
        <f>IF(B1585&lt;&gt;"",IF(AND(B1585&gt;=_TM1,B1585&lt;=_TM2,OR(TH!L1585="1111",TH!M1585="1111")),TH!D1585,""),"")</f>
        <v>T04</v>
      </c>
      <c r="B1585" s="36">
        <f t="shared" si="91"/>
        <v>10</v>
      </c>
      <c r="C1585" s="191">
        <f>E1585</f>
        <v>41198</v>
      </c>
      <c r="D1585" s="191" t="s">
        <v>445</v>
      </c>
      <c r="E1585" s="191">
        <v>41198</v>
      </c>
      <c r="F1585" s="192" t="s">
        <v>365</v>
      </c>
      <c r="G1585" s="490" t="s">
        <v>434</v>
      </c>
      <c r="H1585" s="193" t="s">
        <v>958</v>
      </c>
      <c r="I1585" s="252"/>
      <c r="J1585" s="252"/>
      <c r="K1585" s="38">
        <v>4356000</v>
      </c>
      <c r="L1585" s="194" t="s">
        <v>48</v>
      </c>
      <c r="M1585" s="194" t="s">
        <v>284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customHeight="1">
      <c r="A1586" s="204" t="str">
        <f>IF(B1586&lt;&gt;"",IF(AND(B1586&gt;=_TM1,B1586&lt;=_TM2,OR(TH!L1586="1111",TH!M1586="1111")),TH!D1586,""),"")</f>
        <v>C04</v>
      </c>
      <c r="B1586" s="36">
        <f t="shared" si="91"/>
        <v>10</v>
      </c>
      <c r="C1586" s="191">
        <v>41199</v>
      </c>
      <c r="D1586" s="191" t="s">
        <v>413</v>
      </c>
      <c r="E1586" s="191">
        <v>41199</v>
      </c>
      <c r="F1586" s="192" t="s">
        <v>396</v>
      </c>
      <c r="G1586" s="490" t="s">
        <v>361</v>
      </c>
      <c r="H1586" s="193" t="s">
        <v>684</v>
      </c>
      <c r="I1586" s="252"/>
      <c r="J1586" s="252"/>
      <c r="K1586" s="38">
        <v>55000000</v>
      </c>
      <c r="L1586" s="194" t="s">
        <v>24</v>
      </c>
      <c r="M1586" s="194" t="s">
        <v>48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>x</v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198"/>
      <c r="AC1586" s="198"/>
      <c r="AD1586" s="198"/>
    </row>
    <row r="1587" spans="1:30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91"/>
        <v>10</v>
      </c>
      <c r="C1587" s="191">
        <v>41199</v>
      </c>
      <c r="D1587" s="191" t="s">
        <v>364</v>
      </c>
      <c r="E1587" s="191">
        <v>41199</v>
      </c>
      <c r="F1587" s="192" t="s">
        <v>400</v>
      </c>
      <c r="G1587" s="490" t="s">
        <v>361</v>
      </c>
      <c r="H1587" s="7" t="s">
        <v>436</v>
      </c>
      <c r="I1587" s="252"/>
      <c r="J1587" s="252"/>
      <c r="K1587" s="38">
        <v>50000000</v>
      </c>
      <c r="L1587" s="616" t="s">
        <v>8</v>
      </c>
      <c r="M1587" s="194" t="s">
        <v>24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>x</v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/>
      <c r="AB1587" s="198"/>
      <c r="AC1587" s="198"/>
      <c r="AD1587" s="198"/>
    </row>
    <row r="1588" spans="1:30" ht="15.75" customHeight="1">
      <c r="A1588" s="204" t="str">
        <f>IF(B1588&lt;&gt;"",IF(AND(B1588&gt;=_TM1,B1588&lt;=_TM2,OR(TH!L1588="1111",TH!M1588="1111")),TH!D1588,""),"")</f>
        <v/>
      </c>
      <c r="B1588" s="36">
        <f t="shared" si="91"/>
        <v>10</v>
      </c>
      <c r="C1588" s="191">
        <v>41199</v>
      </c>
      <c r="D1588" s="191" t="s">
        <v>364</v>
      </c>
      <c r="E1588" s="191">
        <v>41199</v>
      </c>
      <c r="F1588" s="192" t="s">
        <v>366</v>
      </c>
      <c r="G1588" s="490" t="s">
        <v>361</v>
      </c>
      <c r="H1588" s="193"/>
      <c r="I1588" s="252"/>
      <c r="J1588" s="252"/>
      <c r="K1588" s="38">
        <v>25000</v>
      </c>
      <c r="L1588" s="194" t="s">
        <v>84</v>
      </c>
      <c r="M1588" s="194" t="s">
        <v>24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>x</v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ht="15.75" customHeight="1">
      <c r="A1589" s="204" t="str">
        <f>IF(B1589&lt;&gt;"",IF(AND(B1589&gt;=_TM1,B1589&lt;=_TM2,OR(TH!L1589="1111",TH!M1589="1111")),TH!D1589,""),"")</f>
        <v/>
      </c>
      <c r="B1589" s="36">
        <f t="shared" si="91"/>
        <v>10</v>
      </c>
      <c r="C1589" s="191">
        <v>41199</v>
      </c>
      <c r="D1589" s="191" t="s">
        <v>364</v>
      </c>
      <c r="E1589" s="191">
        <v>41199</v>
      </c>
      <c r="F1589" s="192" t="s">
        <v>400</v>
      </c>
      <c r="G1589" s="490" t="s">
        <v>361</v>
      </c>
      <c r="H1589" s="7" t="s">
        <v>436</v>
      </c>
      <c r="I1589" s="252"/>
      <c r="J1589" s="252"/>
      <c r="K1589" s="38">
        <v>5000000</v>
      </c>
      <c r="L1589" s="616" t="s">
        <v>8</v>
      </c>
      <c r="M1589" s="194" t="s">
        <v>24</v>
      </c>
      <c r="N1589" s="52" t="str">
        <f>IF(AND('331-CT'!$E$7=TH!H1589,OR(L1589="331",M1589="331")),"331",IF(AND(OR(L1589="131",M1589="131"),H1589='131-CT'!$E$7),"131",""))</f>
        <v>331</v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30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91"/>
        <v>10</v>
      </c>
      <c r="C1590" s="191">
        <v>41199</v>
      </c>
      <c r="D1590" s="191" t="s">
        <v>364</v>
      </c>
      <c r="E1590" s="191">
        <v>41199</v>
      </c>
      <c r="F1590" s="192" t="s">
        <v>366</v>
      </c>
      <c r="G1590" s="490" t="s">
        <v>361</v>
      </c>
      <c r="H1590" s="7"/>
      <c r="I1590" s="252"/>
      <c r="J1590" s="252"/>
      <c r="K1590" s="38">
        <v>10000</v>
      </c>
      <c r="L1590" s="194" t="s">
        <v>84</v>
      </c>
      <c r="M1590" s="194" t="s">
        <v>24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>x</v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91"/>
        <v>10</v>
      </c>
      <c r="C1591" s="191">
        <v>41199</v>
      </c>
      <c r="D1591" s="191" t="s">
        <v>364</v>
      </c>
      <c r="E1591" s="191">
        <v>41199</v>
      </c>
      <c r="F1591" s="192" t="s">
        <v>730</v>
      </c>
      <c r="G1591" s="490" t="s">
        <v>361</v>
      </c>
      <c r="H1591" s="7"/>
      <c r="I1591" s="252"/>
      <c r="J1591" s="252"/>
      <c r="K1591" s="38">
        <v>16479</v>
      </c>
      <c r="L1591" s="194" t="s">
        <v>84</v>
      </c>
      <c r="M1591" s="194" t="s">
        <v>24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>x</v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/>
      <c r="AB1591" s="198"/>
      <c r="AC1591" s="198"/>
      <c r="AD1591" s="198"/>
    </row>
    <row r="1592" spans="1:30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91"/>
        <v>10</v>
      </c>
      <c r="C1592" s="191">
        <f t="shared" ref="C1592:C1604" si="93">E1592</f>
        <v>41199</v>
      </c>
      <c r="D1592" s="191" t="s">
        <v>1590</v>
      </c>
      <c r="E1592" s="191">
        <v>41199</v>
      </c>
      <c r="F1592" s="192" t="s">
        <v>1132</v>
      </c>
      <c r="G1592" s="490" t="s">
        <v>1068</v>
      </c>
      <c r="H1592" s="193" t="s">
        <v>958</v>
      </c>
      <c r="I1592" s="252">
        <v>489</v>
      </c>
      <c r="J1592" s="252">
        <v>11000</v>
      </c>
      <c r="K1592" s="38">
        <f>ROUND(I1592*J1592,0)</f>
        <v>5379000</v>
      </c>
      <c r="L1592" s="194" t="s">
        <v>284</v>
      </c>
      <c r="M1592" s="194" t="s">
        <v>185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91"/>
        <v>10</v>
      </c>
      <c r="C1593" s="191">
        <f t="shared" si="93"/>
        <v>41199</v>
      </c>
      <c r="D1593" s="191" t="s">
        <v>1590</v>
      </c>
      <c r="E1593" s="191">
        <v>41199</v>
      </c>
      <c r="F1593" s="189" t="s">
        <v>1121</v>
      </c>
      <c r="G1593" s="490" t="s">
        <v>1068</v>
      </c>
      <c r="H1593" s="193" t="s">
        <v>958</v>
      </c>
      <c r="I1593" s="252">
        <v>490</v>
      </c>
      <c r="J1593" s="252">
        <v>8000</v>
      </c>
      <c r="K1593" s="38">
        <f>ROUND(I1593*J1593,0)</f>
        <v>3920000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91"/>
        <v>10</v>
      </c>
      <c r="C1594" s="191">
        <f t="shared" si="93"/>
        <v>41199</v>
      </c>
      <c r="D1594" s="191" t="s">
        <v>1590</v>
      </c>
      <c r="E1594" s="191">
        <v>41199</v>
      </c>
      <c r="F1594" s="192" t="s">
        <v>555</v>
      </c>
      <c r="G1594" s="490" t="s">
        <v>1068</v>
      </c>
      <c r="H1594" s="193" t="s">
        <v>958</v>
      </c>
      <c r="I1594" s="252"/>
      <c r="J1594" s="252"/>
      <c r="K1594" s="38">
        <v>929900</v>
      </c>
      <c r="L1594" s="194" t="s">
        <v>284</v>
      </c>
      <c r="M1594" s="194" t="s">
        <v>495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198"/>
      <c r="AB1594" s="198"/>
      <c r="AC1594" s="198"/>
      <c r="AD1594" s="198"/>
    </row>
    <row r="1595" spans="1:30" ht="15.75" customHeight="1">
      <c r="A1595" s="204" t="str">
        <f>IF(B1595&lt;&gt;"",IF(AND(B1595&gt;=_TM1,B1595&lt;=_TM2,OR(TH!L1595="1111",TH!M1595="1111")),TH!D1595,""),"")</f>
        <v>T05</v>
      </c>
      <c r="B1595" s="36">
        <f t="shared" si="91"/>
        <v>10</v>
      </c>
      <c r="C1595" s="191">
        <f t="shared" si="93"/>
        <v>41199</v>
      </c>
      <c r="D1595" s="191" t="s">
        <v>538</v>
      </c>
      <c r="E1595" s="191">
        <v>41199</v>
      </c>
      <c r="F1595" s="192" t="s">
        <v>365</v>
      </c>
      <c r="G1595" s="490" t="s">
        <v>1068</v>
      </c>
      <c r="H1595" s="193" t="s">
        <v>958</v>
      </c>
      <c r="I1595" s="252"/>
      <c r="J1595" s="252"/>
      <c r="K1595" s="38">
        <v>10228900</v>
      </c>
      <c r="L1595" s="194" t="s">
        <v>48</v>
      </c>
      <c r="M1595" s="194" t="s">
        <v>284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30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91"/>
        <v>10</v>
      </c>
      <c r="C1596" s="191">
        <f t="shared" si="93"/>
        <v>41199</v>
      </c>
      <c r="D1596" s="191" t="s">
        <v>1591</v>
      </c>
      <c r="E1596" s="191">
        <v>41199</v>
      </c>
      <c r="F1596" s="189" t="s">
        <v>1069</v>
      </c>
      <c r="G1596" s="490" t="s">
        <v>435</v>
      </c>
      <c r="H1596" s="193" t="s">
        <v>948</v>
      </c>
      <c r="I1596" s="252">
        <v>106</v>
      </c>
      <c r="J1596" s="252">
        <v>6585</v>
      </c>
      <c r="K1596" s="38">
        <f>ROUND(I1596*J1596,0)</f>
        <v>698010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91"/>
        <v>10</v>
      </c>
      <c r="C1597" s="191">
        <f t="shared" si="93"/>
        <v>41199</v>
      </c>
      <c r="D1597" s="191" t="s">
        <v>1591</v>
      </c>
      <c r="E1597" s="191">
        <v>41199</v>
      </c>
      <c r="F1597" s="192" t="s">
        <v>1070</v>
      </c>
      <c r="G1597" s="490" t="s">
        <v>435</v>
      </c>
      <c r="H1597" s="193" t="s">
        <v>948</v>
      </c>
      <c r="I1597" s="252">
        <v>104</v>
      </c>
      <c r="J1597" s="252">
        <v>6700</v>
      </c>
      <c r="K1597" s="38">
        <f>ROUND(I1597*J1597,0)</f>
        <v>696800</v>
      </c>
      <c r="L1597" s="194" t="s">
        <v>284</v>
      </c>
      <c r="M1597" s="194" t="s">
        <v>185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30" ht="15.75" customHeight="1">
      <c r="A1598" s="204" t="str">
        <f>IF(B1598&lt;&gt;"",IF(AND(B1598&gt;=_TM1,B1598&lt;=_TM2,OR(TH!L1598="1111",TH!M1598="1111")),TH!D1598,""),"")</f>
        <v/>
      </c>
      <c r="B1598" s="36">
        <f t="shared" si="91"/>
        <v>10</v>
      </c>
      <c r="C1598" s="191">
        <f t="shared" si="93"/>
        <v>41199</v>
      </c>
      <c r="D1598" s="191" t="s">
        <v>1591</v>
      </c>
      <c r="E1598" s="191">
        <v>41199</v>
      </c>
      <c r="F1598" s="192" t="s">
        <v>555</v>
      </c>
      <c r="G1598" s="490" t="s">
        <v>435</v>
      </c>
      <c r="H1598" s="193" t="s">
        <v>948</v>
      </c>
      <c r="I1598" s="252"/>
      <c r="J1598" s="252"/>
      <c r="K1598" s="38">
        <v>139481</v>
      </c>
      <c r="L1598" s="194" t="s">
        <v>284</v>
      </c>
      <c r="M1598" s="194" t="s">
        <v>495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customHeight="1">
      <c r="A1599" s="204" t="str">
        <f>IF(B1599&lt;&gt;"",IF(AND(B1599&gt;=_TM1,B1599&lt;=_TM2,OR(TH!L1599="1111",TH!M1599="1111")),TH!D1599,""),"")</f>
        <v>T06</v>
      </c>
      <c r="B1599" s="36">
        <f t="shared" si="91"/>
        <v>10</v>
      </c>
      <c r="C1599" s="191">
        <f t="shared" si="93"/>
        <v>41199</v>
      </c>
      <c r="D1599" s="191" t="s">
        <v>543</v>
      </c>
      <c r="E1599" s="191">
        <v>41199</v>
      </c>
      <c r="F1599" s="192" t="s">
        <v>365</v>
      </c>
      <c r="G1599" s="490" t="s">
        <v>435</v>
      </c>
      <c r="H1599" s="193" t="s">
        <v>948</v>
      </c>
      <c r="I1599" s="252"/>
      <c r="J1599" s="252"/>
      <c r="K1599" s="38">
        <v>1534291</v>
      </c>
      <c r="L1599" s="194" t="s">
        <v>48</v>
      </c>
      <c r="M1599" s="194" t="s">
        <v>284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91"/>
        <v>10</v>
      </c>
      <c r="C1600" s="191">
        <f t="shared" si="93"/>
        <v>41201</v>
      </c>
      <c r="D1600" s="191" t="s">
        <v>1592</v>
      </c>
      <c r="E1600" s="191">
        <v>41201</v>
      </c>
      <c r="F1600" s="192" t="s">
        <v>1139</v>
      </c>
      <c r="G1600" s="490" t="s">
        <v>1071</v>
      </c>
      <c r="H1600" s="7" t="s">
        <v>500</v>
      </c>
      <c r="I1600" s="252">
        <v>515</v>
      </c>
      <c r="J1600" s="252">
        <v>16000</v>
      </c>
      <c r="K1600" s="38">
        <f>ROUND(I1600*J1600,0)</f>
        <v>8240000</v>
      </c>
      <c r="L1600" s="194" t="s">
        <v>284</v>
      </c>
      <c r="M1600" s="194" t="s">
        <v>185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30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91"/>
        <v>10</v>
      </c>
      <c r="C1601" s="191">
        <f t="shared" si="93"/>
        <v>41201</v>
      </c>
      <c r="D1601" s="191" t="s">
        <v>1592</v>
      </c>
      <c r="E1601" s="191">
        <v>41201</v>
      </c>
      <c r="F1601" s="192" t="s">
        <v>555</v>
      </c>
      <c r="G1601" s="490" t="s">
        <v>1071</v>
      </c>
      <c r="H1601" s="7" t="s">
        <v>500</v>
      </c>
      <c r="I1601" s="252"/>
      <c r="J1601" s="252"/>
      <c r="K1601" s="38">
        <v>824000</v>
      </c>
      <c r="L1601" s="194" t="s">
        <v>284</v>
      </c>
      <c r="M1601" s="194" t="s">
        <v>495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/>
      <c r="AB1601" s="198"/>
      <c r="AC1601" s="198"/>
      <c r="AD1601" s="198"/>
    </row>
    <row r="1602" spans="1:30" ht="15.75" customHeight="1">
      <c r="A1602" s="204" t="str">
        <f>IF(B1602&lt;&gt;"",IF(AND(B1602&gt;=_TM1,B1602&lt;=_TM2,OR(TH!L1602="1111",TH!M1602="1111")),TH!D1602,""),"")</f>
        <v/>
      </c>
      <c r="B1602" s="36">
        <f t="shared" si="91"/>
        <v>10</v>
      </c>
      <c r="C1602" s="191">
        <f t="shared" si="93"/>
        <v>41201</v>
      </c>
      <c r="D1602" s="191" t="s">
        <v>1593</v>
      </c>
      <c r="E1602" s="191">
        <v>41201</v>
      </c>
      <c r="F1602" s="192" t="s">
        <v>1138</v>
      </c>
      <c r="G1602" s="490" t="s">
        <v>1072</v>
      </c>
      <c r="H1602" s="193" t="s">
        <v>1015</v>
      </c>
      <c r="I1602" s="252">
        <v>1036</v>
      </c>
      <c r="J1602" s="252">
        <v>6700</v>
      </c>
      <c r="K1602" s="38">
        <f>ROUND(I1602*J1602,0)</f>
        <v>6941200</v>
      </c>
      <c r="L1602" s="194" t="s">
        <v>284</v>
      </c>
      <c r="M1602" s="194" t="s">
        <v>185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211"/>
      <c r="AB1602" s="211"/>
      <c r="AC1602" s="211"/>
      <c r="AD1602" s="211"/>
    </row>
    <row r="1603" spans="1:30" ht="15.75" customHeight="1">
      <c r="A1603" s="204" t="str">
        <f>IF(B1603&lt;&gt;"",IF(AND(B1603&gt;=_TM1,B1603&lt;=_TM2,OR(TH!L1603="1111",TH!M1603="1111")),TH!D1603,""),"")</f>
        <v/>
      </c>
      <c r="B1603" s="36">
        <f t="shared" si="91"/>
        <v>10</v>
      </c>
      <c r="C1603" s="191">
        <f t="shared" si="93"/>
        <v>41201</v>
      </c>
      <c r="D1603" s="191" t="s">
        <v>1593</v>
      </c>
      <c r="E1603" s="191">
        <v>41201</v>
      </c>
      <c r="F1603" s="192" t="s">
        <v>555</v>
      </c>
      <c r="G1603" s="490" t="s">
        <v>1072</v>
      </c>
      <c r="H1603" s="193" t="s">
        <v>1015</v>
      </c>
      <c r="I1603" s="252"/>
      <c r="J1603" s="252"/>
      <c r="K1603" s="38">
        <v>694120</v>
      </c>
      <c r="L1603" s="194" t="s">
        <v>284</v>
      </c>
      <c r="M1603" s="194" t="s">
        <v>495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30" s="211" customFormat="1" ht="15.75" customHeight="1">
      <c r="A1604" s="204" t="str">
        <f>IF(B1604&lt;&gt;"",IF(AND(B1604&gt;=_TM1,B1604&lt;=_TM2,OR(TH!L1604="1111",TH!M1604="1111")),TH!D1604,""),"")</f>
        <v>T07</v>
      </c>
      <c r="B1604" s="36">
        <f t="shared" si="91"/>
        <v>10</v>
      </c>
      <c r="C1604" s="191">
        <f t="shared" si="93"/>
        <v>41201</v>
      </c>
      <c r="D1604" s="191" t="s">
        <v>542</v>
      </c>
      <c r="E1604" s="191">
        <v>41201</v>
      </c>
      <c r="F1604" s="192" t="s">
        <v>365</v>
      </c>
      <c r="G1604" s="490" t="s">
        <v>1072</v>
      </c>
      <c r="H1604" s="193" t="s">
        <v>1015</v>
      </c>
      <c r="I1604" s="252"/>
      <c r="J1604" s="252"/>
      <c r="K1604" s="38">
        <v>7635320</v>
      </c>
      <c r="L1604" s="194" t="s">
        <v>48</v>
      </c>
      <c r="M1604" s="194" t="s">
        <v>284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/>
      <c r="AB1604" s="198"/>
      <c r="AC1604" s="198"/>
      <c r="AD1604" s="198"/>
    </row>
    <row r="1605" spans="1:30" ht="15.75" customHeight="1">
      <c r="A1605" s="204" t="str">
        <f>IF(B1605&lt;&gt;"",IF(AND(B1605&gt;=_TM1,B1605&lt;=_TM2,OR(TH!L1605="1111",TH!M1605="1111")),TH!D1605,""),"")</f>
        <v/>
      </c>
      <c r="B1605" s="36">
        <f t="shared" si="91"/>
        <v>10</v>
      </c>
      <c r="C1605" s="191">
        <v>41204</v>
      </c>
      <c r="D1605" s="191" t="s">
        <v>363</v>
      </c>
      <c r="E1605" s="191">
        <v>41204</v>
      </c>
      <c r="F1605" s="192" t="s">
        <v>365</v>
      </c>
      <c r="G1605" s="490" t="s">
        <v>361</v>
      </c>
      <c r="H1605" s="7" t="s">
        <v>500</v>
      </c>
      <c r="I1605" s="252"/>
      <c r="J1605" s="252"/>
      <c r="K1605" s="38">
        <v>45878580</v>
      </c>
      <c r="L1605" s="194" t="s">
        <v>24</v>
      </c>
      <c r="M1605" s="194" t="s">
        <v>284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30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91"/>
        <v>10</v>
      </c>
      <c r="C1606" s="191">
        <v>41204</v>
      </c>
      <c r="D1606" s="191" t="s">
        <v>463</v>
      </c>
      <c r="E1606" s="191">
        <v>41204</v>
      </c>
      <c r="F1606" s="879" t="s">
        <v>1467</v>
      </c>
      <c r="G1606" s="490" t="s">
        <v>883</v>
      </c>
      <c r="H1606" s="7" t="s">
        <v>436</v>
      </c>
      <c r="I1606" s="252">
        <v>340</v>
      </c>
      <c r="J1606" s="252">
        <v>20290</v>
      </c>
      <c r="K1606" s="38">
        <v>6898600</v>
      </c>
      <c r="L1606" s="194" t="s">
        <v>169</v>
      </c>
      <c r="M1606" s="616" t="s">
        <v>8</v>
      </c>
      <c r="N1606" s="52" t="str">
        <f>IF(AND('331-CT'!$E$7=TH!H1606,OR(L1606="331",M1606="331")),"331",IF(AND(OR(L1606="131",M1606="131"),H1606='131-CT'!$E$7),"131",""))</f>
        <v>331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606"/>
      <c r="AC1606" s="198"/>
      <c r="AD1606" s="198"/>
    </row>
    <row r="1607" spans="1:30" ht="15.75" customHeight="1">
      <c r="A1607" s="204" t="str">
        <f>IF(B1607&lt;&gt;"",IF(AND(B1607&gt;=_TM1,B1607&lt;=_TM2,OR(TH!L1607="1111",TH!M1607="1111")),TH!D1607,""),"")</f>
        <v/>
      </c>
      <c r="B1607" s="36">
        <f t="shared" si="91"/>
        <v>10</v>
      </c>
      <c r="C1607" s="191">
        <v>41204</v>
      </c>
      <c r="D1607" s="191" t="s">
        <v>463</v>
      </c>
      <c r="E1607" s="191">
        <v>41204</v>
      </c>
      <c r="F1607" s="879" t="s">
        <v>1363</v>
      </c>
      <c r="G1607" s="490" t="s">
        <v>883</v>
      </c>
      <c r="H1607" s="7" t="s">
        <v>436</v>
      </c>
      <c r="I1607" s="252">
        <v>4000</v>
      </c>
      <c r="J1607" s="252">
        <v>19979</v>
      </c>
      <c r="K1607" s="38">
        <v>79916000</v>
      </c>
      <c r="L1607" s="194" t="s">
        <v>169</v>
      </c>
      <c r="M1607" s="616" t="s">
        <v>8</v>
      </c>
      <c r="N1607" s="52" t="str">
        <f>IF(AND('331-CT'!$E$7=TH!H1607,OR(L1607="331",M1607="331")),"331",IF(AND(OR(L1607="131",M1607="131"),H1607='131-CT'!$E$7),"131",""))</f>
        <v>331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6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1"/>
        <v>10</v>
      </c>
      <c r="C1608" s="191">
        <v>41204</v>
      </c>
      <c r="D1608" s="191" t="s">
        <v>463</v>
      </c>
      <c r="E1608" s="191">
        <v>41204</v>
      </c>
      <c r="F1608" s="879" t="s">
        <v>566</v>
      </c>
      <c r="G1608" s="490" t="s">
        <v>883</v>
      </c>
      <c r="H1608" s="7" t="s">
        <v>436</v>
      </c>
      <c r="I1608" s="252"/>
      <c r="J1608" s="252"/>
      <c r="K1608" s="38">
        <v>8681460</v>
      </c>
      <c r="L1608" s="194" t="s">
        <v>9</v>
      </c>
      <c r="M1608" s="616" t="s">
        <v>8</v>
      </c>
      <c r="N1608" s="52" t="str">
        <f>IF(AND('331-CT'!$E$7=TH!H1608,OR(L1608="331",M1608="331")),"331",IF(AND(OR(L1608="131",M1608="131"),H1608='131-CT'!$E$7),"131",""))</f>
        <v>331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198">
        <v>10</v>
      </c>
    </row>
    <row r="1609" spans="1:30" s="211" customFormat="1" ht="15.75" customHeight="1">
      <c r="A1609" s="204" t="str">
        <f>IF(B1609&lt;&gt;"",IF(AND(B1609&gt;=_TM1,B1609&lt;=_TM2,OR(TH!L1609="1111",TH!M1609="1111")),TH!D1609,""),"")</f>
        <v>C05</v>
      </c>
      <c r="B1609" s="36">
        <f t="shared" si="91"/>
        <v>10</v>
      </c>
      <c r="C1609" s="191">
        <v>41205</v>
      </c>
      <c r="D1609" s="191" t="s">
        <v>414</v>
      </c>
      <c r="E1609" s="191">
        <v>41205</v>
      </c>
      <c r="F1609" s="879" t="s">
        <v>689</v>
      </c>
      <c r="G1609" s="490" t="s">
        <v>884</v>
      </c>
      <c r="H1609" s="7" t="s">
        <v>401</v>
      </c>
      <c r="I1609" s="252"/>
      <c r="J1609" s="252"/>
      <c r="K1609" s="38">
        <v>3900000</v>
      </c>
      <c r="L1609" s="194" t="s">
        <v>175</v>
      </c>
      <c r="M1609" s="194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198"/>
      <c r="AB1609" s="198"/>
      <c r="AC1609" s="198"/>
      <c r="AD1609" s="198"/>
    </row>
    <row r="1610" spans="1:30" s="211" customFormat="1" ht="15.75" customHeight="1">
      <c r="A1610" s="204" t="str">
        <f>IF(B1610&lt;&gt;"",IF(AND(B1610&gt;=_TM1,B1610&lt;=_TM2,OR(TH!L1610="1111",TH!M1610="1111")),TH!D1610,""),"")</f>
        <v>C05</v>
      </c>
      <c r="B1610" s="36">
        <f t="shared" si="91"/>
        <v>10</v>
      </c>
      <c r="C1610" s="191">
        <v>41205</v>
      </c>
      <c r="D1610" s="191" t="s">
        <v>414</v>
      </c>
      <c r="E1610" s="191">
        <v>41205</v>
      </c>
      <c r="F1610" s="879" t="s">
        <v>372</v>
      </c>
      <c r="G1610" s="490" t="s">
        <v>884</v>
      </c>
      <c r="H1610" s="7" t="s">
        <v>401</v>
      </c>
      <c r="I1610" s="252"/>
      <c r="J1610" s="252"/>
      <c r="K1610" s="38">
        <v>390000</v>
      </c>
      <c r="L1610" s="194" t="s">
        <v>9</v>
      </c>
      <c r="M1610" s="194" t="s">
        <v>48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>
        <v>10</v>
      </c>
      <c r="AB1610" s="198"/>
      <c r="AC1610" s="198"/>
      <c r="AD1610" s="198"/>
    </row>
    <row r="1611" spans="1:30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91"/>
        <v>10</v>
      </c>
      <c r="C1611" s="191">
        <v>41205</v>
      </c>
      <c r="D1611" s="191" t="s">
        <v>464</v>
      </c>
      <c r="E1611" s="191">
        <v>41205</v>
      </c>
      <c r="F1611" s="879" t="s">
        <v>1468</v>
      </c>
      <c r="G1611" s="490" t="s">
        <v>885</v>
      </c>
      <c r="H1611" s="7" t="s">
        <v>436</v>
      </c>
      <c r="I1611" s="252">
        <v>470</v>
      </c>
      <c r="J1611" s="252">
        <v>11113</v>
      </c>
      <c r="K1611" s="38">
        <v>5223110</v>
      </c>
      <c r="L1611" s="194" t="s">
        <v>169</v>
      </c>
      <c r="M1611" s="616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/>
      <c r="AB1611" s="606"/>
      <c r="AC1611" s="198"/>
      <c r="AD1611" s="198"/>
    </row>
    <row r="1612" spans="1:30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91"/>
        <v>10</v>
      </c>
      <c r="C1612" s="191">
        <v>41205</v>
      </c>
      <c r="D1612" s="191" t="s">
        <v>464</v>
      </c>
      <c r="E1612" s="191">
        <v>41205</v>
      </c>
      <c r="F1612" s="192" t="s">
        <v>1294</v>
      </c>
      <c r="G1612" s="490" t="s">
        <v>885</v>
      </c>
      <c r="H1612" s="7" t="s">
        <v>436</v>
      </c>
      <c r="I1612" s="252">
        <v>200</v>
      </c>
      <c r="J1612" s="252">
        <v>15825</v>
      </c>
      <c r="K1612" s="38">
        <v>3165000</v>
      </c>
      <c r="L1612" s="194" t="s">
        <v>169</v>
      </c>
      <c r="M1612" s="616" t="s">
        <v>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606"/>
      <c r="AC1612" s="198"/>
      <c r="AD1612" s="198"/>
    </row>
    <row r="1613" spans="1:30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91"/>
        <v>10</v>
      </c>
      <c r="C1613" s="191">
        <v>41205</v>
      </c>
      <c r="D1613" s="191" t="s">
        <v>464</v>
      </c>
      <c r="E1613" s="191">
        <v>41205</v>
      </c>
      <c r="F1613" s="192" t="s">
        <v>1364</v>
      </c>
      <c r="G1613" s="490" t="s">
        <v>885</v>
      </c>
      <c r="H1613" s="7" t="s">
        <v>436</v>
      </c>
      <c r="I1613" s="252">
        <v>50</v>
      </c>
      <c r="J1613" s="252">
        <v>39995</v>
      </c>
      <c r="K1613" s="38">
        <v>1999750</v>
      </c>
      <c r="L1613" s="194" t="s">
        <v>169</v>
      </c>
      <c r="M1613" s="616" t="s">
        <v>8</v>
      </c>
      <c r="N1613" s="52" t="str">
        <f>IF(AND('331-CT'!$E$7=TH!H1613,OR(L1613="331",M1613="331")),"331",IF(AND(OR(L1613="131",M1613="131"),H1613='131-CT'!$E$7),"131",""))</f>
        <v>331</v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198"/>
      <c r="AB1613" s="606"/>
      <c r="AC1613" s="198"/>
      <c r="AD1613" s="198"/>
    </row>
    <row r="1614" spans="1:30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91"/>
        <v>10</v>
      </c>
      <c r="C1614" s="191">
        <v>41205</v>
      </c>
      <c r="D1614" s="191" t="s">
        <v>464</v>
      </c>
      <c r="E1614" s="191">
        <v>41205</v>
      </c>
      <c r="F1614" s="192" t="s">
        <v>566</v>
      </c>
      <c r="G1614" s="490" t="s">
        <v>885</v>
      </c>
      <c r="H1614" s="7" t="s">
        <v>436</v>
      </c>
      <c r="I1614" s="252"/>
      <c r="J1614" s="252"/>
      <c r="K1614" s="38">
        <v>1038786</v>
      </c>
      <c r="L1614" s="194" t="s">
        <v>9</v>
      </c>
      <c r="M1614" s="616" t="s">
        <v>8</v>
      </c>
      <c r="N1614" s="52" t="str">
        <f>IF(AND('331-CT'!$E$7=TH!H1614,OR(L1614="331",M1614="331")),"331",IF(AND(OR(L1614="131",M1614="131"),H1614='131-CT'!$E$7),"131",""))</f>
        <v>331</v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198">
        <v>10</v>
      </c>
      <c r="AB1614" s="198"/>
      <c r="AC1614" s="198"/>
      <c r="AD1614" s="198"/>
    </row>
    <row r="1615" spans="1:30" s="211" customFormat="1" ht="15.75" customHeight="1">
      <c r="A1615" s="204" t="str">
        <f>IF(B1615&lt;&gt;"",IF(AND(B1615&gt;=_TM1,B1615&lt;=_TM2,OR(TH!L1615="1111",TH!M1615="1111")),TH!D1615,""),"")</f>
        <v>C06</v>
      </c>
      <c r="B1615" s="36">
        <f t="shared" si="91"/>
        <v>10</v>
      </c>
      <c r="C1615" s="191">
        <v>41205</v>
      </c>
      <c r="D1615" s="191" t="s">
        <v>415</v>
      </c>
      <c r="E1615" s="191">
        <v>41205</v>
      </c>
      <c r="F1615" s="192" t="s">
        <v>400</v>
      </c>
      <c r="G1615" s="490" t="s">
        <v>885</v>
      </c>
      <c r="H1615" s="7" t="s">
        <v>436</v>
      </c>
      <c r="I1615" s="252"/>
      <c r="J1615" s="252"/>
      <c r="K1615" s="38">
        <v>11426646</v>
      </c>
      <c r="L1615" s="616" t="s">
        <v>8</v>
      </c>
      <c r="M1615" s="616" t="s">
        <v>48</v>
      </c>
      <c r="N1615" s="52" t="str">
        <f>IF(AND('331-CT'!$E$7=TH!H1615,OR(L1615="331",M1615="331")),"331",IF(AND(OR(L1615="131",M1615="131"),H1615='131-CT'!$E$7),"131",""))</f>
        <v>331</v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91"/>
        <v>10</v>
      </c>
      <c r="C1616" s="191">
        <f t="shared" ref="C1616:C1622" si="94">E1616</f>
        <v>41205</v>
      </c>
      <c r="D1616" s="191" t="s">
        <v>1594</v>
      </c>
      <c r="E1616" s="191">
        <v>41205</v>
      </c>
      <c r="F1616" s="192" t="s">
        <v>1125</v>
      </c>
      <c r="G1616" s="490" t="s">
        <v>1073</v>
      </c>
      <c r="H1616" s="193" t="s">
        <v>886</v>
      </c>
      <c r="I1616" s="252">
        <v>1020</v>
      </c>
      <c r="J1616" s="252">
        <v>8740</v>
      </c>
      <c r="K1616" s="38">
        <f>ROUND(I1616*J1616,0)</f>
        <v>8914800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ht="15.75" customHeight="1">
      <c r="A1617" s="204" t="str">
        <f>IF(B1617&lt;&gt;"",IF(AND(B1617&gt;=_TM1,B1617&lt;=_TM2,OR(TH!L1617="1111",TH!M1617="1111")),TH!D1617,""),"")</f>
        <v/>
      </c>
      <c r="B1617" s="36">
        <f t="shared" si="91"/>
        <v>10</v>
      </c>
      <c r="C1617" s="191">
        <f t="shared" si="94"/>
        <v>41205</v>
      </c>
      <c r="D1617" s="191" t="s">
        <v>1594</v>
      </c>
      <c r="E1617" s="191">
        <v>41205</v>
      </c>
      <c r="F1617" s="192" t="s">
        <v>555</v>
      </c>
      <c r="G1617" s="490" t="s">
        <v>1073</v>
      </c>
      <c r="H1617" s="193" t="s">
        <v>886</v>
      </c>
      <c r="I1617" s="252"/>
      <c r="J1617" s="252"/>
      <c r="K1617" s="38">
        <v>891480</v>
      </c>
      <c r="L1617" s="194" t="s">
        <v>284</v>
      </c>
      <c r="M1617" s="194" t="s">
        <v>495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91"/>
        <v>10</v>
      </c>
      <c r="C1618" s="191">
        <f t="shared" si="94"/>
        <v>41205</v>
      </c>
      <c r="D1618" s="191" t="s">
        <v>1595</v>
      </c>
      <c r="E1618" s="191">
        <v>41205</v>
      </c>
      <c r="F1618" s="192" t="s">
        <v>1137</v>
      </c>
      <c r="G1618" s="490" t="s">
        <v>1074</v>
      </c>
      <c r="H1618" s="7" t="s">
        <v>632</v>
      </c>
      <c r="I1618" s="252">
        <v>1305</v>
      </c>
      <c r="J1618" s="252">
        <v>6000</v>
      </c>
      <c r="K1618" s="38">
        <f>ROUND(I1618*J1618,0)</f>
        <v>7830000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>131</v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30" ht="15.75" customHeight="1">
      <c r="A1619" s="204" t="str">
        <f>IF(B1619&lt;&gt;"",IF(AND(B1619&gt;=_TM1,B1619&lt;=_TM2,OR(TH!L1619="1111",TH!M1619="1111")),TH!D1619,""),"")</f>
        <v/>
      </c>
      <c r="B1619" s="36">
        <f t="shared" si="91"/>
        <v>10</v>
      </c>
      <c r="C1619" s="191">
        <f t="shared" si="94"/>
        <v>41205</v>
      </c>
      <c r="D1619" s="191" t="s">
        <v>1595</v>
      </c>
      <c r="E1619" s="191">
        <v>41205</v>
      </c>
      <c r="F1619" s="192" t="s">
        <v>1136</v>
      </c>
      <c r="G1619" s="490" t="s">
        <v>1074</v>
      </c>
      <c r="H1619" s="7" t="s">
        <v>632</v>
      </c>
      <c r="I1619" s="252">
        <v>617</v>
      </c>
      <c r="J1619" s="252">
        <v>9400</v>
      </c>
      <c r="K1619" s="38">
        <f>ROUND(I1619*J1619,0)</f>
        <v>5799800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>131</v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ht="15.75" customHeight="1">
      <c r="A1620" s="204" t="str">
        <f>IF(B1620&lt;&gt;"",IF(AND(B1620&gt;=_TM1,B1620&lt;=_TM2,OR(TH!L1620="1111",TH!M1620="1111")),TH!D1620,""),"")</f>
        <v/>
      </c>
      <c r="B1620" s="36">
        <f t="shared" si="91"/>
        <v>10</v>
      </c>
      <c r="C1620" s="191">
        <f t="shared" si="94"/>
        <v>41205</v>
      </c>
      <c r="D1620" s="191" t="s">
        <v>1595</v>
      </c>
      <c r="E1620" s="191">
        <v>41205</v>
      </c>
      <c r="F1620" s="192" t="s">
        <v>1135</v>
      </c>
      <c r="G1620" s="490" t="s">
        <v>1074</v>
      </c>
      <c r="H1620" s="7" t="s">
        <v>632</v>
      </c>
      <c r="I1620" s="252">
        <v>293</v>
      </c>
      <c r="J1620" s="252">
        <v>6000</v>
      </c>
      <c r="K1620" s="38">
        <f>ROUND(I1620*J1620,0)</f>
        <v>1758000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>131</v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211"/>
      <c r="AB1620" s="211"/>
      <c r="AC1620" s="211"/>
      <c r="AD1620" s="211"/>
    </row>
    <row r="1621" spans="1:30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ref="B1621:B1684" si="95">IF(C1621&lt;&gt;"",MONTH(C1621),"")</f>
        <v>10</v>
      </c>
      <c r="C1621" s="191">
        <f t="shared" si="94"/>
        <v>41205</v>
      </c>
      <c r="D1621" s="191" t="s">
        <v>1595</v>
      </c>
      <c r="E1621" s="191">
        <v>41205</v>
      </c>
      <c r="F1621" s="192" t="s">
        <v>1117</v>
      </c>
      <c r="G1621" s="490" t="s">
        <v>1074</v>
      </c>
      <c r="H1621" s="7" t="s">
        <v>632</v>
      </c>
      <c r="I1621" s="252">
        <v>500</v>
      </c>
      <c r="J1621" s="252">
        <v>10300</v>
      </c>
      <c r="K1621" s="38">
        <f>ROUND(I1621*J1621,0)</f>
        <v>5150000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>131</v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30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95"/>
        <v>10</v>
      </c>
      <c r="C1622" s="191">
        <f t="shared" si="94"/>
        <v>41205</v>
      </c>
      <c r="D1622" s="191" t="s">
        <v>1595</v>
      </c>
      <c r="E1622" s="191">
        <v>41205</v>
      </c>
      <c r="F1622" s="192" t="s">
        <v>555</v>
      </c>
      <c r="G1622" s="490" t="s">
        <v>1074</v>
      </c>
      <c r="H1622" s="7" t="s">
        <v>632</v>
      </c>
      <c r="I1622" s="252"/>
      <c r="J1622" s="252"/>
      <c r="K1622" s="38">
        <v>2053780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198"/>
      <c r="AB1622" s="198"/>
      <c r="AC1622" s="198"/>
      <c r="AD1622" s="198"/>
    </row>
    <row r="1623" spans="1:30" ht="15.75" customHeight="1">
      <c r="A1623" s="204" t="str">
        <f>IF(B1623&lt;&gt;"",IF(AND(B1623&gt;=_TM1,B1623&lt;=_TM2,OR(TH!L1623="1111",TH!M1623="1111")),TH!D1623,""),"")</f>
        <v>C07</v>
      </c>
      <c r="B1623" s="36">
        <f t="shared" si="95"/>
        <v>10</v>
      </c>
      <c r="C1623" s="191">
        <v>41206</v>
      </c>
      <c r="D1623" s="191" t="s">
        <v>416</v>
      </c>
      <c r="E1623" s="191">
        <v>41206</v>
      </c>
      <c r="F1623" s="192" t="s">
        <v>396</v>
      </c>
      <c r="G1623" s="490" t="s">
        <v>361</v>
      </c>
      <c r="H1623" s="193" t="s">
        <v>684</v>
      </c>
      <c r="I1623" s="252"/>
      <c r="J1623" s="252"/>
      <c r="K1623" s="38">
        <v>4300000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customHeight="1">
      <c r="A1624" s="204" t="str">
        <f>IF(B1624&lt;&gt;"",IF(AND(B1624&gt;=_TM1,B1624&lt;=_TM2,OR(TH!L1624="1111",TH!M1624="1111")),TH!D1624,""),"")</f>
        <v/>
      </c>
      <c r="B1624" s="36">
        <f t="shared" si="95"/>
        <v>10</v>
      </c>
      <c r="C1624" s="191">
        <v>41206</v>
      </c>
      <c r="D1624" s="191" t="s">
        <v>363</v>
      </c>
      <c r="E1624" s="191">
        <v>41206</v>
      </c>
      <c r="F1624" s="192" t="s">
        <v>365</v>
      </c>
      <c r="G1624" s="490" t="s">
        <v>361</v>
      </c>
      <c r="H1624" s="7" t="s">
        <v>886</v>
      </c>
      <c r="I1624" s="252"/>
      <c r="J1624" s="252"/>
      <c r="K1624" s="38">
        <v>9806280</v>
      </c>
      <c r="L1624" s="194" t="s">
        <v>24</v>
      </c>
      <c r="M1624" s="194" t="s">
        <v>284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95"/>
        <v>10</v>
      </c>
      <c r="C1625" s="191">
        <v>41206</v>
      </c>
      <c r="D1625" s="191" t="s">
        <v>364</v>
      </c>
      <c r="E1625" s="191">
        <v>41206</v>
      </c>
      <c r="F1625" s="192" t="s">
        <v>400</v>
      </c>
      <c r="G1625" s="490" t="s">
        <v>361</v>
      </c>
      <c r="H1625" s="7" t="s">
        <v>436</v>
      </c>
      <c r="I1625" s="252"/>
      <c r="J1625" s="252"/>
      <c r="K1625" s="38">
        <v>50000000</v>
      </c>
      <c r="L1625" s="616" t="s">
        <v>8</v>
      </c>
      <c r="M1625" s="194" t="s">
        <v>24</v>
      </c>
      <c r="N1625" s="52" t="str">
        <f>IF(AND('331-CT'!$E$7=TH!H1625,OR(L1625="331",M1625="331")),"331",IF(AND(OR(L1625="131",M1625="131"),H1625='131-CT'!$E$7),"131",""))</f>
        <v>331</v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/>
      <c r="AB1625" s="198"/>
      <c r="AC1625" s="198"/>
      <c r="AD1625" s="198"/>
    </row>
    <row r="1626" spans="1:30" ht="15.75" customHeight="1">
      <c r="A1626" s="204" t="str">
        <f>IF(B1626&lt;&gt;"",IF(AND(B1626&gt;=_TM1,B1626&lt;=_TM2,OR(TH!L1626="1111",TH!M1626="1111")),TH!D1626,""),"")</f>
        <v/>
      </c>
      <c r="B1626" s="36">
        <f t="shared" si="95"/>
        <v>10</v>
      </c>
      <c r="C1626" s="191">
        <v>41206</v>
      </c>
      <c r="D1626" s="191" t="s">
        <v>364</v>
      </c>
      <c r="E1626" s="191">
        <v>41206</v>
      </c>
      <c r="F1626" s="192" t="s">
        <v>366</v>
      </c>
      <c r="G1626" s="490" t="s">
        <v>361</v>
      </c>
      <c r="H1626" s="193"/>
      <c r="I1626" s="252"/>
      <c r="J1626" s="252"/>
      <c r="K1626" s="38">
        <v>25000</v>
      </c>
      <c r="L1626" s="194" t="s">
        <v>84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30" ht="15.75" customHeight="1">
      <c r="A1627" s="204" t="str">
        <f>IF(B1627&lt;&gt;"",IF(AND(B1627&gt;=_TM1,B1627&lt;=_TM2,OR(TH!L1627="1111",TH!M1627="1111")),TH!D1627,""),"")</f>
        <v/>
      </c>
      <c r="B1627" s="36">
        <f t="shared" si="95"/>
        <v>10</v>
      </c>
      <c r="C1627" s="191">
        <v>41206</v>
      </c>
      <c r="D1627" s="191" t="s">
        <v>364</v>
      </c>
      <c r="E1627" s="191">
        <v>41206</v>
      </c>
      <c r="F1627" s="192" t="s">
        <v>730</v>
      </c>
      <c r="G1627" s="490" t="s">
        <v>361</v>
      </c>
      <c r="H1627" s="193"/>
      <c r="I1627" s="252"/>
      <c r="J1627" s="252"/>
      <c r="K1627" s="38">
        <v>10000</v>
      </c>
      <c r="L1627" s="194" t="s">
        <v>84</v>
      </c>
      <c r="M1627" s="194" t="s">
        <v>24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30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95"/>
        <v>10</v>
      </c>
      <c r="C1628" s="191">
        <v>41206</v>
      </c>
      <c r="D1628" s="191" t="s">
        <v>465</v>
      </c>
      <c r="E1628" s="191">
        <v>41206</v>
      </c>
      <c r="F1628" s="192" t="s">
        <v>1294</v>
      </c>
      <c r="G1628" s="490" t="s">
        <v>887</v>
      </c>
      <c r="H1628" s="7" t="s">
        <v>436</v>
      </c>
      <c r="I1628" s="252">
        <v>290</v>
      </c>
      <c r="J1628" s="252">
        <v>15825</v>
      </c>
      <c r="K1628" s="38">
        <v>4589250</v>
      </c>
      <c r="L1628" s="194" t="s">
        <v>169</v>
      </c>
      <c r="M1628" s="616" t="s">
        <v>8</v>
      </c>
      <c r="N1628" s="52" t="str">
        <f>IF(AND('331-CT'!$E$7=TH!H1628,OR(L1628="331",M1628="331")),"331",IF(AND(OR(L1628="131",M1628="131"),H1628='131-CT'!$E$7),"131",""))</f>
        <v>331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/>
      <c r="AB1628" s="606"/>
      <c r="AC1628" s="198"/>
      <c r="AD1628" s="198"/>
    </row>
    <row r="1629" spans="1:30" ht="15.75" customHeight="1">
      <c r="A1629" s="204" t="str">
        <f>IF(B1629&lt;&gt;"",IF(AND(B1629&gt;=_TM1,B1629&lt;=_TM2,OR(TH!L1629="1111",TH!M1629="1111")),TH!D1629,""),"")</f>
        <v/>
      </c>
      <c r="B1629" s="36">
        <f t="shared" si="95"/>
        <v>10</v>
      </c>
      <c r="C1629" s="191">
        <v>41206</v>
      </c>
      <c r="D1629" s="191" t="s">
        <v>465</v>
      </c>
      <c r="E1629" s="191">
        <v>41206</v>
      </c>
      <c r="F1629" s="192" t="s">
        <v>566</v>
      </c>
      <c r="G1629" s="490" t="s">
        <v>887</v>
      </c>
      <c r="H1629" s="7" t="s">
        <v>436</v>
      </c>
      <c r="I1629" s="252"/>
      <c r="J1629" s="252"/>
      <c r="K1629" s="38">
        <v>458925</v>
      </c>
      <c r="L1629" s="194" t="s">
        <v>9</v>
      </c>
      <c r="M1629" s="616" t="s">
        <v>8</v>
      </c>
      <c r="N1629" s="52" t="str">
        <f>IF(AND('331-CT'!$E$7=TH!H1629,OR(L1629="331",M1629="331")),"331",IF(AND(OR(L1629="131",M1629="131"),H1629='131-CT'!$E$7),"131",""))</f>
        <v>331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10</v>
      </c>
    </row>
    <row r="1630" spans="1:30" ht="15.75" customHeight="1">
      <c r="A1630" s="204" t="str">
        <f>IF(B1630&lt;&gt;"",IF(AND(B1630&gt;=_TM1,B1630&lt;=_TM2,OR(TH!L1630="1111",TH!M1630="1111")),TH!D1630,""),"")</f>
        <v>C08</v>
      </c>
      <c r="B1630" s="36">
        <f t="shared" si="95"/>
        <v>10</v>
      </c>
      <c r="C1630" s="191">
        <v>41206</v>
      </c>
      <c r="D1630" s="191" t="s">
        <v>417</v>
      </c>
      <c r="E1630" s="191">
        <v>41206</v>
      </c>
      <c r="F1630" s="192" t="s">
        <v>400</v>
      </c>
      <c r="G1630" s="490" t="s">
        <v>887</v>
      </c>
      <c r="H1630" s="7" t="s">
        <v>436</v>
      </c>
      <c r="I1630" s="252"/>
      <c r="J1630" s="252"/>
      <c r="K1630" s="38">
        <v>5048175</v>
      </c>
      <c r="L1630" s="616" t="s">
        <v>8</v>
      </c>
      <c r="M1630" s="616" t="s">
        <v>48</v>
      </c>
      <c r="N1630" s="52" t="str">
        <f>IF(AND('331-CT'!$E$7=TH!H1630,OR(L1630="331",M1630="331")),"331",IF(AND(OR(L1630="131",M1630="131"),H1630='131-CT'!$E$7),"131",""))</f>
        <v>331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30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95"/>
        <v>10</v>
      </c>
      <c r="C1631" s="191">
        <v>41207</v>
      </c>
      <c r="D1631" s="191" t="s">
        <v>363</v>
      </c>
      <c r="E1631" s="191">
        <v>41207</v>
      </c>
      <c r="F1631" s="192" t="s">
        <v>398</v>
      </c>
      <c r="G1631" s="192" t="s">
        <v>361</v>
      </c>
      <c r="H1631" s="193"/>
      <c r="I1631" s="252"/>
      <c r="J1631" s="252"/>
      <c r="K1631" s="38">
        <v>12799</v>
      </c>
      <c r="L1631" s="194" t="s">
        <v>24</v>
      </c>
      <c r="M1631" s="194" t="s">
        <v>40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customHeight="1">
      <c r="A1632" s="204" t="str">
        <f>IF(B1632&lt;&gt;"",IF(AND(B1632&gt;=_TM1,B1632&lt;=_TM2,OR(TH!L1632="1111",TH!M1632="1111")),TH!D1632,""),"")</f>
        <v>C09</v>
      </c>
      <c r="B1632" s="36">
        <f t="shared" si="95"/>
        <v>10</v>
      </c>
      <c r="C1632" s="191">
        <v>41207</v>
      </c>
      <c r="D1632" s="191" t="s">
        <v>418</v>
      </c>
      <c r="E1632" s="191">
        <v>41207</v>
      </c>
      <c r="F1632" s="192" t="s">
        <v>888</v>
      </c>
      <c r="G1632" s="192" t="s">
        <v>889</v>
      </c>
      <c r="H1632" s="193" t="s">
        <v>401</v>
      </c>
      <c r="I1632" s="252"/>
      <c r="J1632" s="252"/>
      <c r="K1632" s="38">
        <v>1380000</v>
      </c>
      <c r="L1632" s="194" t="s">
        <v>175</v>
      </c>
      <c r="M1632" s="194" t="s">
        <v>48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s="211" customFormat="1" ht="15.75" customHeight="1">
      <c r="A1633" s="204" t="str">
        <f>IF(B1633&lt;&gt;"",IF(AND(B1633&gt;=_TM1,B1633&lt;=_TM2,OR(TH!L1633="1111",TH!M1633="1111")),TH!D1633,""),"")</f>
        <v>C09</v>
      </c>
      <c r="B1633" s="36">
        <f t="shared" si="95"/>
        <v>10</v>
      </c>
      <c r="C1633" s="191">
        <v>41207</v>
      </c>
      <c r="D1633" s="191" t="s">
        <v>418</v>
      </c>
      <c r="E1633" s="191">
        <v>41207</v>
      </c>
      <c r="F1633" s="192" t="s">
        <v>372</v>
      </c>
      <c r="G1633" s="192" t="s">
        <v>889</v>
      </c>
      <c r="H1633" s="193" t="s">
        <v>401</v>
      </c>
      <c r="I1633" s="252"/>
      <c r="J1633" s="252"/>
      <c r="K1633" s="38">
        <v>138000</v>
      </c>
      <c r="L1633" s="194" t="s">
        <v>9</v>
      </c>
      <c r="M1633" s="194" t="s">
        <v>48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198">
        <v>10</v>
      </c>
      <c r="AB1633" s="198"/>
      <c r="AC1633" s="198"/>
      <c r="AD1633" s="198"/>
    </row>
    <row r="1634" spans="1:30" ht="15.75" customHeight="1">
      <c r="A1634" s="204" t="str">
        <f>IF(B1634&lt;&gt;"",IF(AND(B1634&gt;=_TM1,B1634&lt;=_TM2,OR(TH!L1634="1111",TH!M1634="1111")),TH!D1634,""),"")</f>
        <v/>
      </c>
      <c r="B1634" s="36">
        <f t="shared" si="95"/>
        <v>10</v>
      </c>
      <c r="C1634" s="191">
        <v>41208</v>
      </c>
      <c r="D1634" s="191" t="s">
        <v>363</v>
      </c>
      <c r="E1634" s="191">
        <v>41208</v>
      </c>
      <c r="F1634" s="192" t="s">
        <v>365</v>
      </c>
      <c r="G1634" s="192" t="s">
        <v>361</v>
      </c>
      <c r="H1634" s="7" t="s">
        <v>497</v>
      </c>
      <c r="I1634" s="254"/>
      <c r="J1634" s="254"/>
      <c r="K1634" s="38">
        <v>3296426</v>
      </c>
      <c r="L1634" s="194" t="s">
        <v>24</v>
      </c>
      <c r="M1634" s="194" t="s">
        <v>284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95"/>
        <v>10</v>
      </c>
      <c r="C1635" s="191">
        <f>E1635</f>
        <v>41208</v>
      </c>
      <c r="D1635" s="191" t="s">
        <v>1596</v>
      </c>
      <c r="E1635" s="191">
        <v>41208</v>
      </c>
      <c r="F1635" s="192" t="s">
        <v>1117</v>
      </c>
      <c r="G1635" s="490" t="s">
        <v>1075</v>
      </c>
      <c r="H1635" s="7" t="s">
        <v>632</v>
      </c>
      <c r="I1635" s="252">
        <v>98</v>
      </c>
      <c r="J1635" s="252">
        <v>10300</v>
      </c>
      <c r="K1635" s="38">
        <f>ROUND(I1635*J1635,0)</f>
        <v>1009400</v>
      </c>
      <c r="L1635" s="194" t="s">
        <v>284</v>
      </c>
      <c r="M1635" s="194" t="s">
        <v>185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30" ht="15.75" customHeight="1">
      <c r="A1636" s="204" t="str">
        <f>IF(B1636&lt;&gt;"",IF(AND(B1636&gt;=_TM1,B1636&lt;=_TM2,OR(TH!L1636="1111",TH!M1636="1111")),TH!D1636,""),"")</f>
        <v/>
      </c>
      <c r="B1636" s="36">
        <f t="shared" si="95"/>
        <v>10</v>
      </c>
      <c r="C1636" s="191">
        <f>E1636</f>
        <v>41208</v>
      </c>
      <c r="D1636" s="191" t="s">
        <v>1596</v>
      </c>
      <c r="E1636" s="191">
        <v>41208</v>
      </c>
      <c r="F1636" s="192" t="s">
        <v>1118</v>
      </c>
      <c r="G1636" s="490" t="s">
        <v>1075</v>
      </c>
      <c r="H1636" s="7" t="s">
        <v>632</v>
      </c>
      <c r="I1636" s="252">
        <v>1272</v>
      </c>
      <c r="J1636" s="252">
        <v>5400</v>
      </c>
      <c r="K1636" s="38">
        <f>ROUND(I1636*J1636,0)</f>
        <v>6868800</v>
      </c>
      <c r="L1636" s="194" t="s">
        <v>284</v>
      </c>
      <c r="M1636" s="194" t="s">
        <v>185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211"/>
      <c r="AB1636" s="211"/>
      <c r="AC1636" s="211"/>
      <c r="AD1636" s="211"/>
    </row>
    <row r="1637" spans="1:30" ht="15.75" customHeight="1">
      <c r="A1637" s="204" t="str">
        <f>IF(B1637&lt;&gt;"",IF(AND(B1637&gt;=_TM1,B1637&lt;=_TM2,OR(TH!L1637="1111",TH!M1637="1111")),TH!D1637,""),"")</f>
        <v/>
      </c>
      <c r="B1637" s="36">
        <f t="shared" si="95"/>
        <v>10</v>
      </c>
      <c r="C1637" s="191">
        <f>E1637</f>
        <v>41208</v>
      </c>
      <c r="D1637" s="191" t="s">
        <v>1596</v>
      </c>
      <c r="E1637" s="191">
        <v>41208</v>
      </c>
      <c r="F1637" s="192" t="s">
        <v>1134</v>
      </c>
      <c r="G1637" s="490" t="s">
        <v>1075</v>
      </c>
      <c r="H1637" s="7" t="s">
        <v>632</v>
      </c>
      <c r="I1637" s="252">
        <v>640</v>
      </c>
      <c r="J1637" s="252">
        <v>6500</v>
      </c>
      <c r="K1637" s="38">
        <f>ROUND(I1637*J1637,0)</f>
        <v>4160000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95"/>
        <v>10</v>
      </c>
      <c r="C1638" s="191">
        <f>E1638</f>
        <v>41208</v>
      </c>
      <c r="D1638" s="191" t="s">
        <v>1596</v>
      </c>
      <c r="E1638" s="191">
        <v>41208</v>
      </c>
      <c r="F1638" s="192" t="s">
        <v>1133</v>
      </c>
      <c r="G1638" s="490" t="s">
        <v>1075</v>
      </c>
      <c r="H1638" s="7" t="s">
        <v>632</v>
      </c>
      <c r="I1638" s="252">
        <v>606</v>
      </c>
      <c r="J1638" s="252">
        <v>8660</v>
      </c>
      <c r="K1638" s="38">
        <f>ROUND(I1638*J1638,0)</f>
        <v>5247960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30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95"/>
        <v>10</v>
      </c>
      <c r="C1639" s="191">
        <f>E1639</f>
        <v>41208</v>
      </c>
      <c r="D1639" s="191" t="s">
        <v>1596</v>
      </c>
      <c r="E1639" s="191">
        <v>41208</v>
      </c>
      <c r="F1639" s="192" t="s">
        <v>555</v>
      </c>
      <c r="G1639" s="490" t="s">
        <v>1075</v>
      </c>
      <c r="H1639" s="7" t="s">
        <v>632</v>
      </c>
      <c r="I1639" s="252"/>
      <c r="J1639" s="252"/>
      <c r="K1639" s="38">
        <v>1728616</v>
      </c>
      <c r="L1639" s="194" t="s">
        <v>284</v>
      </c>
      <c r="M1639" s="194" t="s">
        <v>495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198"/>
      <c r="AB1639" s="198"/>
      <c r="AC1639" s="198"/>
      <c r="AD1639" s="198"/>
    </row>
    <row r="1640" spans="1:30" ht="15.75" customHeight="1">
      <c r="A1640" s="204" t="str">
        <f>IF(B1640&lt;&gt;"",IF(AND(B1640&gt;=_TM1,B1640&lt;=_TM2,OR(TH!L1640="1111",TH!M1640="1111")),TH!D1640,""),"")</f>
        <v>C10</v>
      </c>
      <c r="B1640" s="36">
        <f t="shared" si="95"/>
        <v>10</v>
      </c>
      <c r="C1640" s="191">
        <v>41209</v>
      </c>
      <c r="D1640" s="191" t="s">
        <v>437</v>
      </c>
      <c r="E1640" s="191">
        <v>41209</v>
      </c>
      <c r="F1640" s="192" t="s">
        <v>396</v>
      </c>
      <c r="G1640" s="192" t="s">
        <v>361</v>
      </c>
      <c r="H1640" s="193" t="s">
        <v>684</v>
      </c>
      <c r="I1640" s="252"/>
      <c r="J1640" s="252"/>
      <c r="K1640" s="38">
        <v>100000</v>
      </c>
      <c r="L1640" s="194" t="s">
        <v>24</v>
      </c>
      <c r="M1640" s="194" t="s">
        <v>48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>x</v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30" ht="15.75" customHeight="1">
      <c r="A1641" s="204" t="str">
        <f>IF(B1641&lt;&gt;"",IF(AND(B1641&gt;=_TM1,B1641&lt;=_TM2,OR(TH!L1641="1111",TH!M1641="1111")),TH!D1641,""),"")</f>
        <v/>
      </c>
      <c r="B1641" s="36">
        <f t="shared" si="95"/>
        <v>10</v>
      </c>
      <c r="C1641" s="191">
        <v>41209</v>
      </c>
      <c r="D1641" s="191" t="s">
        <v>364</v>
      </c>
      <c r="E1641" s="191">
        <v>41209</v>
      </c>
      <c r="F1641" s="192" t="s">
        <v>400</v>
      </c>
      <c r="G1641" s="192" t="s">
        <v>361</v>
      </c>
      <c r="H1641" s="7" t="s">
        <v>436</v>
      </c>
      <c r="I1641" s="252"/>
      <c r="J1641" s="252"/>
      <c r="K1641" s="38">
        <v>10000000</v>
      </c>
      <c r="L1641" s="616" t="s">
        <v>8</v>
      </c>
      <c r="M1641" s="194" t="s">
        <v>24</v>
      </c>
      <c r="N1641" s="52" t="str">
        <f>IF(AND('331-CT'!$E$7=TH!H1641,OR(L1641="331",M1641="331")),"331",IF(AND(OR(L1641="131",M1641="131"),H1641='131-CT'!$E$7),"131",""))</f>
        <v>331</v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>x</v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95"/>
        <v>10</v>
      </c>
      <c r="C1642" s="191">
        <v>41209</v>
      </c>
      <c r="D1642" s="191" t="s">
        <v>364</v>
      </c>
      <c r="E1642" s="191">
        <v>41209</v>
      </c>
      <c r="F1642" s="192" t="s">
        <v>366</v>
      </c>
      <c r="G1642" s="490" t="s">
        <v>361</v>
      </c>
      <c r="H1642" s="193"/>
      <c r="I1642" s="252"/>
      <c r="J1642" s="252"/>
      <c r="K1642" s="38">
        <v>20000</v>
      </c>
      <c r="L1642" s="194" t="s">
        <v>84</v>
      </c>
      <c r="M1642" s="194" t="s">
        <v>24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>x</v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198"/>
      <c r="AB1642" s="198"/>
      <c r="AC1642" s="198"/>
      <c r="AD1642" s="198"/>
    </row>
    <row r="1643" spans="1:30" ht="15.75" customHeight="1">
      <c r="A1643" s="204" t="str">
        <f>IF(B1643&lt;&gt;"",IF(AND(B1643&gt;=_TM1,B1643&lt;=_TM2,OR(TH!L1643="1111",TH!M1643="1111")),TH!D1643,""),"")</f>
        <v>C11</v>
      </c>
      <c r="B1643" s="36">
        <f t="shared" si="95"/>
        <v>10</v>
      </c>
      <c r="C1643" s="191">
        <v>41211</v>
      </c>
      <c r="D1643" s="191" t="s">
        <v>438</v>
      </c>
      <c r="E1643" s="191">
        <v>41211</v>
      </c>
      <c r="F1643" s="192" t="s">
        <v>396</v>
      </c>
      <c r="G1643" s="490" t="s">
        <v>361</v>
      </c>
      <c r="H1643" s="193" t="s">
        <v>684</v>
      </c>
      <c r="I1643" s="252"/>
      <c r="J1643" s="252"/>
      <c r="K1643" s="38">
        <v>50000000</v>
      </c>
      <c r="L1643" s="194" t="s">
        <v>24</v>
      </c>
      <c r="M1643" s="194" t="s">
        <v>48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>x</v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30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95"/>
        <v>10</v>
      </c>
      <c r="C1644" s="191">
        <v>41211</v>
      </c>
      <c r="D1644" s="191" t="s">
        <v>364</v>
      </c>
      <c r="E1644" s="191">
        <v>41211</v>
      </c>
      <c r="F1644" s="192" t="s">
        <v>400</v>
      </c>
      <c r="G1644" s="490" t="s">
        <v>361</v>
      </c>
      <c r="H1644" s="7" t="s">
        <v>436</v>
      </c>
      <c r="I1644" s="252"/>
      <c r="J1644" s="252"/>
      <c r="K1644" s="38">
        <v>50000000</v>
      </c>
      <c r="L1644" s="616" t="s">
        <v>8</v>
      </c>
      <c r="M1644" s="194" t="s">
        <v>24</v>
      </c>
      <c r="N1644" s="52" t="str">
        <f>IF(AND('331-CT'!$E$7=TH!H1644,OR(L1644="331",M1644="331")),"331",IF(AND(OR(L1644="131",M1644="131"),H1644='131-CT'!$E$7),"131",""))</f>
        <v>331</v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>x</v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198"/>
      <c r="AB1644" s="198"/>
      <c r="AC1644" s="198"/>
      <c r="AD1644" s="198"/>
    </row>
    <row r="1645" spans="1:30" ht="15.75" customHeight="1">
      <c r="A1645" s="204" t="str">
        <f>IF(B1645&lt;&gt;"",IF(AND(B1645&gt;=_TM1,B1645&lt;=_TM2,OR(TH!L1645="1111",TH!M1645="1111")),TH!D1645,""),"")</f>
        <v/>
      </c>
      <c r="B1645" s="36">
        <f t="shared" si="95"/>
        <v>10</v>
      </c>
      <c r="C1645" s="191">
        <v>41211</v>
      </c>
      <c r="D1645" s="191" t="s">
        <v>364</v>
      </c>
      <c r="E1645" s="191">
        <v>41211</v>
      </c>
      <c r="F1645" s="192" t="s">
        <v>366</v>
      </c>
      <c r="G1645" s="490" t="s">
        <v>361</v>
      </c>
      <c r="H1645" s="193"/>
      <c r="I1645" s="252"/>
      <c r="J1645" s="252"/>
      <c r="K1645" s="38">
        <v>25000</v>
      </c>
      <c r="L1645" s="194" t="s">
        <v>84</v>
      </c>
      <c r="M1645" s="194" t="s">
        <v>24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>x</v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30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95"/>
        <v>10</v>
      </c>
      <c r="C1646" s="191">
        <v>41211</v>
      </c>
      <c r="D1646" s="191" t="s">
        <v>364</v>
      </c>
      <c r="E1646" s="191">
        <v>41211</v>
      </c>
      <c r="F1646" s="192" t="s">
        <v>730</v>
      </c>
      <c r="G1646" s="490" t="s">
        <v>361</v>
      </c>
      <c r="H1646" s="193"/>
      <c r="I1646" s="252"/>
      <c r="J1646" s="252"/>
      <c r="K1646" s="38">
        <v>13990</v>
      </c>
      <c r="L1646" s="194" t="s">
        <v>84</v>
      </c>
      <c r="M1646" s="194" t="s">
        <v>24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>x</v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/>
      <c r="AB1646" s="198"/>
      <c r="AC1646" s="198"/>
      <c r="AD1646" s="198"/>
    </row>
    <row r="1647" spans="1:30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95"/>
        <v>10</v>
      </c>
      <c r="C1647" s="740">
        <f>E1647</f>
        <v>41213</v>
      </c>
      <c r="D1647" s="740" t="s">
        <v>367</v>
      </c>
      <c r="E1647" s="853">
        <v>41213</v>
      </c>
      <c r="F1647" s="741" t="s">
        <v>1584</v>
      </c>
      <c r="G1647" s="742"/>
      <c r="H1647" s="629"/>
      <c r="I1647" s="487"/>
      <c r="J1647" s="487"/>
      <c r="K1647" s="743">
        <v>9325000</v>
      </c>
      <c r="L1647" s="744" t="s">
        <v>84</v>
      </c>
      <c r="M1647" s="744" t="s">
        <v>287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B1647" s="606"/>
      <c r="AC1647" s="606"/>
      <c r="AD1647" s="606"/>
    </row>
    <row r="1648" spans="1:30" ht="15.75" customHeight="1">
      <c r="A1648" s="204" t="str">
        <f>IF(B1648&lt;&gt;"",IF(AND(B1648&gt;=_TM1,B1648&lt;=_TM2,OR(TH!L1648="1111",TH!M1648="1111")),TH!D1648,""),"")</f>
        <v/>
      </c>
      <c r="B1648" s="36">
        <f t="shared" si="95"/>
        <v>10</v>
      </c>
      <c r="C1648" s="740">
        <f>E1648</f>
        <v>41213</v>
      </c>
      <c r="D1648" s="740" t="s">
        <v>367</v>
      </c>
      <c r="E1648" s="853">
        <v>41213</v>
      </c>
      <c r="F1648" s="741" t="s">
        <v>511</v>
      </c>
      <c r="G1648" s="742"/>
      <c r="H1648" s="629"/>
      <c r="I1648" s="487"/>
      <c r="J1648" s="487"/>
      <c r="K1648" s="743">
        <v>13450000</v>
      </c>
      <c r="L1648" s="744" t="s">
        <v>175</v>
      </c>
      <c r="M1648" s="744" t="s">
        <v>287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211"/>
      <c r="AB1648" s="606"/>
      <c r="AC1648" s="606"/>
      <c r="AD1648" s="606"/>
    </row>
    <row r="1649" spans="1:30" ht="15.75" customHeight="1">
      <c r="A1649" s="204" t="str">
        <f>IF(B1649&lt;&gt;"",IF(AND(B1649&gt;=_TM1,B1649&lt;=_TM2,OR(TH!L1649="1111",TH!M1649="1111")),TH!D1649,""),"")</f>
        <v>C12</v>
      </c>
      <c r="B1649" s="36">
        <f t="shared" si="95"/>
        <v>10</v>
      </c>
      <c r="C1649" s="740">
        <f>E1649</f>
        <v>41213</v>
      </c>
      <c r="D1649" s="740" t="s">
        <v>439</v>
      </c>
      <c r="E1649" s="853">
        <v>41213</v>
      </c>
      <c r="F1649" s="741" t="str">
        <f>"Thanh toán tiền lương tháng "&amp;MONTH(E1649)&amp;"/"&amp;YEAR(E1649)</f>
        <v>Thanh toán tiền lương tháng 10/2012</v>
      </c>
      <c r="G1649" s="742"/>
      <c r="H1649" s="45" t="s">
        <v>684</v>
      </c>
      <c r="I1649" s="487"/>
      <c r="J1649" s="487"/>
      <c r="K1649" s="743">
        <f>K1647+K1648</f>
        <v>22775000</v>
      </c>
      <c r="L1649" s="744" t="s">
        <v>287</v>
      </c>
      <c r="M1649" s="744" t="s">
        <v>48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211"/>
      <c r="AB1649" s="606"/>
      <c r="AC1649" s="606"/>
      <c r="AD1649" s="606"/>
    </row>
    <row r="1650" spans="1:30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95"/>
        <v>10</v>
      </c>
      <c r="C1650" s="191">
        <v>41213</v>
      </c>
      <c r="D1650" s="191" t="s">
        <v>466</v>
      </c>
      <c r="E1650" s="191">
        <v>41213</v>
      </c>
      <c r="F1650" s="192" t="s">
        <v>1363</v>
      </c>
      <c r="G1650" s="490" t="s">
        <v>890</v>
      </c>
      <c r="H1650" s="7" t="s">
        <v>436</v>
      </c>
      <c r="I1650" s="252">
        <v>200</v>
      </c>
      <c r="J1650" s="252">
        <v>18628</v>
      </c>
      <c r="K1650" s="38">
        <v>3725600</v>
      </c>
      <c r="L1650" s="194" t="s">
        <v>169</v>
      </c>
      <c r="M1650" s="616" t="s">
        <v>8</v>
      </c>
      <c r="N1650" s="52" t="str">
        <f>IF(AND('331-CT'!$E$7=TH!H1650,OR(L1650="331",M1650="331")),"331",IF(AND(OR(L1650="131",M1650="131"),H1650='131-CT'!$E$7),"131",""))</f>
        <v>331</v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198"/>
      <c r="AB1650" s="606"/>
      <c r="AC1650" s="198"/>
      <c r="AD1650" s="198"/>
    </row>
    <row r="1651" spans="1:30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95"/>
        <v>10</v>
      </c>
      <c r="C1651" s="191">
        <v>41213</v>
      </c>
      <c r="D1651" s="191" t="s">
        <v>466</v>
      </c>
      <c r="E1651" s="191">
        <v>41213</v>
      </c>
      <c r="F1651" s="192" t="s">
        <v>566</v>
      </c>
      <c r="G1651" s="490" t="s">
        <v>890</v>
      </c>
      <c r="H1651" s="7" t="s">
        <v>436</v>
      </c>
      <c r="I1651" s="252"/>
      <c r="J1651" s="252"/>
      <c r="K1651" s="38">
        <v>372560</v>
      </c>
      <c r="L1651" s="194" t="s">
        <v>9</v>
      </c>
      <c r="M1651" s="616" t="s">
        <v>8</v>
      </c>
      <c r="N1651" s="52" t="str">
        <f>IF(AND('331-CT'!$E$7=TH!H1651,OR(L1651="331",M1651="331")),"331",IF(AND(OR(L1651="131",M1651="131"),H1651='131-CT'!$E$7),"131",""))</f>
        <v>331</v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198">
        <v>10</v>
      </c>
      <c r="AB1651" s="198"/>
      <c r="AC1651" s="198"/>
      <c r="AD1651" s="198"/>
    </row>
    <row r="1652" spans="1:30" s="211" customFormat="1" ht="15.75" customHeight="1">
      <c r="A1652" s="204" t="str">
        <f>IF(B1652&lt;&gt;"",IF(AND(B1652&gt;=_TM1,B1652&lt;=_TM2,OR(TH!L1652="1111",TH!M1652="1111")),TH!D1652,""),"")</f>
        <v>C13</v>
      </c>
      <c r="B1652" s="36">
        <f t="shared" si="95"/>
        <v>10</v>
      </c>
      <c r="C1652" s="191">
        <v>41213</v>
      </c>
      <c r="D1652" s="191" t="s">
        <v>441</v>
      </c>
      <c r="E1652" s="191">
        <v>41213</v>
      </c>
      <c r="F1652" s="192" t="s">
        <v>400</v>
      </c>
      <c r="G1652" s="490" t="s">
        <v>890</v>
      </c>
      <c r="H1652" s="7" t="s">
        <v>436</v>
      </c>
      <c r="I1652" s="252"/>
      <c r="J1652" s="252"/>
      <c r="K1652" s="38">
        <v>4098160</v>
      </c>
      <c r="L1652" s="616" t="s">
        <v>8</v>
      </c>
      <c r="M1652" s="616" t="s">
        <v>48</v>
      </c>
      <c r="N1652" s="52" t="str">
        <f>IF(AND('331-CT'!$E$7=TH!H1652,OR(L1652="331",M1652="331")),"331",IF(AND(OR(L1652="131",M1652="131"),H1652='131-CT'!$E$7),"131",""))</f>
        <v>331</v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95"/>
        <v>10</v>
      </c>
      <c r="C1653" s="191">
        <f t="shared" ref="C1653:C1664" si="96">E1653</f>
        <v>41213</v>
      </c>
      <c r="D1653" s="191" t="s">
        <v>1597</v>
      </c>
      <c r="E1653" s="191">
        <v>41213</v>
      </c>
      <c r="F1653" s="189" t="s">
        <v>1121</v>
      </c>
      <c r="G1653" s="490" t="s">
        <v>1076</v>
      </c>
      <c r="H1653" s="193" t="s">
        <v>958</v>
      </c>
      <c r="I1653" s="252">
        <v>998</v>
      </c>
      <c r="J1653" s="252">
        <v>8000</v>
      </c>
      <c r="K1653" s="38">
        <f>ROUND(I1653*J1653,0)</f>
        <v>7984000</v>
      </c>
      <c r="L1653" s="194" t="s">
        <v>284</v>
      </c>
      <c r="M1653" s="194" t="s">
        <v>185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30" ht="15.75" customHeight="1">
      <c r="A1654" s="204" t="str">
        <f>IF(B1654&lt;&gt;"",IF(AND(B1654&gt;=_TM1,B1654&lt;=_TM2,OR(TH!L1654="1111",TH!M1654="1111")),TH!D1654,""),"")</f>
        <v/>
      </c>
      <c r="B1654" s="36">
        <f t="shared" si="95"/>
        <v>10</v>
      </c>
      <c r="C1654" s="191">
        <f t="shared" si="96"/>
        <v>41213</v>
      </c>
      <c r="D1654" s="191" t="s">
        <v>1597</v>
      </c>
      <c r="E1654" s="191">
        <v>41213</v>
      </c>
      <c r="F1654" s="192" t="s">
        <v>1132</v>
      </c>
      <c r="G1654" s="490" t="s">
        <v>1076</v>
      </c>
      <c r="H1654" s="193" t="s">
        <v>958</v>
      </c>
      <c r="I1654" s="252">
        <v>200</v>
      </c>
      <c r="J1654" s="252">
        <v>11000</v>
      </c>
      <c r="K1654" s="38">
        <f>ROUND(I1654*J1654,0)</f>
        <v>2200000</v>
      </c>
      <c r="L1654" s="194" t="s">
        <v>284</v>
      </c>
      <c r="M1654" s="194" t="s">
        <v>185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211"/>
      <c r="AB1654" s="211"/>
      <c r="AC1654" s="211"/>
      <c r="AD1654" s="211"/>
    </row>
    <row r="1655" spans="1:30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95"/>
        <v>10</v>
      </c>
      <c r="C1655" s="191">
        <f t="shared" si="96"/>
        <v>41213</v>
      </c>
      <c r="D1655" s="191" t="s">
        <v>1597</v>
      </c>
      <c r="E1655" s="191">
        <v>41213</v>
      </c>
      <c r="F1655" s="192" t="s">
        <v>555</v>
      </c>
      <c r="G1655" s="490" t="s">
        <v>1076</v>
      </c>
      <c r="H1655" s="193" t="s">
        <v>958</v>
      </c>
      <c r="I1655" s="252"/>
      <c r="J1655" s="252"/>
      <c r="K1655" s="38">
        <v>1018400</v>
      </c>
      <c r="L1655" s="194" t="s">
        <v>284</v>
      </c>
      <c r="M1655" s="194" t="s">
        <v>495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198"/>
      <c r="AB1655" s="198"/>
      <c r="AC1655" s="198"/>
      <c r="AD1655" s="198"/>
    </row>
    <row r="1656" spans="1:30" ht="15.75" customHeight="1">
      <c r="A1656" s="204" t="str">
        <f>IF(B1656&lt;&gt;"",IF(AND(B1656&gt;=_TM1,B1656&lt;=_TM2,OR(TH!L1656="1111",TH!M1656="1111")),TH!D1656,""),"")</f>
        <v>T08</v>
      </c>
      <c r="B1656" s="36">
        <f t="shared" si="95"/>
        <v>10</v>
      </c>
      <c r="C1656" s="191">
        <f t="shared" si="96"/>
        <v>41213</v>
      </c>
      <c r="D1656" s="191" t="s">
        <v>1640</v>
      </c>
      <c r="E1656" s="191">
        <v>41213</v>
      </c>
      <c r="F1656" s="192" t="s">
        <v>365</v>
      </c>
      <c r="G1656" s="490" t="s">
        <v>1076</v>
      </c>
      <c r="H1656" s="193" t="s">
        <v>958</v>
      </c>
      <c r="I1656" s="252"/>
      <c r="J1656" s="252"/>
      <c r="K1656" s="38">
        <v>11202400</v>
      </c>
      <c r="L1656" s="194" t="s">
        <v>48</v>
      </c>
      <c r="M1656" s="194" t="s">
        <v>284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30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95"/>
        <v>10</v>
      </c>
      <c r="C1657" s="191">
        <f t="shared" si="96"/>
        <v>41213</v>
      </c>
      <c r="D1657" s="191" t="s">
        <v>1598</v>
      </c>
      <c r="E1657" s="191">
        <v>41213</v>
      </c>
      <c r="F1657" s="192" t="s">
        <v>1077</v>
      </c>
      <c r="G1657" s="490" t="s">
        <v>1078</v>
      </c>
      <c r="H1657" s="193" t="s">
        <v>1079</v>
      </c>
      <c r="I1657" s="252">
        <v>100</v>
      </c>
      <c r="J1657" s="252">
        <v>12900</v>
      </c>
      <c r="K1657" s="38">
        <f t="shared" ref="K1657:K1662" si="97">ROUND(I1657*J1657,0)</f>
        <v>1290000</v>
      </c>
      <c r="L1657" s="194" t="s">
        <v>284</v>
      </c>
      <c r="M1657" s="194" t="s">
        <v>185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95"/>
        <v>10</v>
      </c>
      <c r="C1658" s="191">
        <f t="shared" si="96"/>
        <v>41213</v>
      </c>
      <c r="D1658" s="191" t="s">
        <v>1598</v>
      </c>
      <c r="E1658" s="191">
        <v>41213</v>
      </c>
      <c r="F1658" s="192" t="s">
        <v>1080</v>
      </c>
      <c r="G1658" s="490" t="s">
        <v>1078</v>
      </c>
      <c r="H1658" s="193" t="s">
        <v>1079</v>
      </c>
      <c r="I1658" s="252">
        <v>100</v>
      </c>
      <c r="J1658" s="252">
        <v>12900</v>
      </c>
      <c r="K1658" s="38">
        <f t="shared" si="97"/>
        <v>1290000</v>
      </c>
      <c r="L1658" s="194" t="s">
        <v>284</v>
      </c>
      <c r="M1658" s="194" t="s">
        <v>185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30" ht="15.75" customHeight="1">
      <c r="A1659" s="204" t="str">
        <f>IF(B1659&lt;&gt;"",IF(AND(B1659&gt;=_TM1,B1659&lt;=_TM2,OR(TH!L1659="1111",TH!M1659="1111")),TH!D1659,""),"")</f>
        <v/>
      </c>
      <c r="B1659" s="36">
        <f t="shared" si="95"/>
        <v>10</v>
      </c>
      <c r="C1659" s="191">
        <f t="shared" si="96"/>
        <v>41213</v>
      </c>
      <c r="D1659" s="191" t="s">
        <v>1598</v>
      </c>
      <c r="E1659" s="191">
        <v>41213</v>
      </c>
      <c r="F1659" s="192" t="s">
        <v>1081</v>
      </c>
      <c r="G1659" s="490" t="s">
        <v>1078</v>
      </c>
      <c r="H1659" s="193" t="s">
        <v>1079</v>
      </c>
      <c r="I1659" s="252">
        <v>100</v>
      </c>
      <c r="J1659" s="252">
        <v>12900</v>
      </c>
      <c r="K1659" s="38">
        <f t="shared" si="97"/>
        <v>1290000</v>
      </c>
      <c r="L1659" s="194" t="s">
        <v>284</v>
      </c>
      <c r="M1659" s="194" t="s">
        <v>185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211"/>
      <c r="AB1659" s="211"/>
      <c r="AC1659" s="211"/>
      <c r="AD1659" s="211"/>
    </row>
    <row r="1660" spans="1:30" ht="15.75" customHeight="1">
      <c r="A1660" s="204" t="str">
        <f>IF(B1660&lt;&gt;"",IF(AND(B1660&gt;=_TM1,B1660&lt;=_TM2,OR(TH!L1660="1111",TH!M1660="1111")),TH!D1660,""),"")</f>
        <v/>
      </c>
      <c r="B1660" s="36">
        <f t="shared" si="95"/>
        <v>10</v>
      </c>
      <c r="C1660" s="191">
        <f t="shared" si="96"/>
        <v>41213</v>
      </c>
      <c r="D1660" s="191" t="s">
        <v>1598</v>
      </c>
      <c r="E1660" s="191">
        <v>41213</v>
      </c>
      <c r="F1660" s="192" t="s">
        <v>1082</v>
      </c>
      <c r="G1660" s="490" t="s">
        <v>1078</v>
      </c>
      <c r="H1660" s="193" t="s">
        <v>1079</v>
      </c>
      <c r="I1660" s="252">
        <v>200</v>
      </c>
      <c r="J1660" s="252">
        <v>13500</v>
      </c>
      <c r="K1660" s="38">
        <f t="shared" si="97"/>
        <v>2700000</v>
      </c>
      <c r="L1660" s="194" t="s">
        <v>284</v>
      </c>
      <c r="M1660" s="194" t="s">
        <v>185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211"/>
      <c r="AB1660" s="211"/>
      <c r="AC1660" s="211"/>
      <c r="AD1660" s="211"/>
    </row>
    <row r="1661" spans="1:30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95"/>
        <v>10</v>
      </c>
      <c r="C1661" s="191">
        <f t="shared" si="96"/>
        <v>41213</v>
      </c>
      <c r="D1661" s="191" t="s">
        <v>1598</v>
      </c>
      <c r="E1661" s="191">
        <v>41213</v>
      </c>
      <c r="F1661" s="192" t="s">
        <v>1083</v>
      </c>
      <c r="G1661" s="490" t="s">
        <v>1078</v>
      </c>
      <c r="H1661" s="193" t="s">
        <v>1079</v>
      </c>
      <c r="I1661" s="252">
        <v>100</v>
      </c>
      <c r="J1661" s="252">
        <v>13500</v>
      </c>
      <c r="K1661" s="38">
        <f t="shared" si="97"/>
        <v>1350000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30" ht="15.75" customHeight="1">
      <c r="A1662" s="204" t="str">
        <f>IF(B1662&lt;&gt;"",IF(AND(B1662&gt;=_TM1,B1662&lt;=_TM2,OR(TH!L1662="1111",TH!M1662="1111")),TH!D1662,""),"")</f>
        <v/>
      </c>
      <c r="B1662" s="36">
        <f t="shared" si="95"/>
        <v>10</v>
      </c>
      <c r="C1662" s="191">
        <f t="shared" si="96"/>
        <v>41213</v>
      </c>
      <c r="D1662" s="191" t="s">
        <v>1598</v>
      </c>
      <c r="E1662" s="191">
        <v>41213</v>
      </c>
      <c r="F1662" s="192" t="s">
        <v>1084</v>
      </c>
      <c r="G1662" s="490" t="s">
        <v>1078</v>
      </c>
      <c r="H1662" s="193" t="s">
        <v>1079</v>
      </c>
      <c r="I1662" s="252">
        <v>200</v>
      </c>
      <c r="J1662" s="252">
        <v>13500</v>
      </c>
      <c r="K1662" s="38">
        <f t="shared" si="97"/>
        <v>2700000</v>
      </c>
      <c r="L1662" s="194" t="s">
        <v>284</v>
      </c>
      <c r="M1662" s="194" t="s">
        <v>185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211"/>
      <c r="AB1662" s="211"/>
      <c r="AC1662" s="211"/>
      <c r="AD1662" s="211"/>
    </row>
    <row r="1663" spans="1:30" ht="15.75" customHeight="1">
      <c r="A1663" s="204" t="str">
        <f>IF(B1663&lt;&gt;"",IF(AND(B1663&gt;=_TM1,B1663&lt;=_TM2,OR(TH!L1663="1111",TH!M1663="1111")),TH!D1663,""),"")</f>
        <v/>
      </c>
      <c r="B1663" s="36">
        <f t="shared" si="95"/>
        <v>10</v>
      </c>
      <c r="C1663" s="191">
        <f t="shared" si="96"/>
        <v>41213</v>
      </c>
      <c r="D1663" s="191" t="s">
        <v>1598</v>
      </c>
      <c r="E1663" s="191">
        <v>41213</v>
      </c>
      <c r="F1663" s="192" t="s">
        <v>555</v>
      </c>
      <c r="G1663" s="490" t="s">
        <v>1078</v>
      </c>
      <c r="H1663" s="193" t="s">
        <v>1079</v>
      </c>
      <c r="I1663" s="252"/>
      <c r="J1663" s="252"/>
      <c r="K1663" s="38">
        <v>1062000</v>
      </c>
      <c r="L1663" s="194" t="s">
        <v>284</v>
      </c>
      <c r="M1663" s="194" t="s">
        <v>495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30" s="211" customFormat="1" ht="15.75" customHeight="1">
      <c r="A1664" s="204" t="str">
        <f>IF(B1664&lt;&gt;"",IF(AND(B1664&gt;=_TM1,B1664&lt;=_TM2,OR(TH!L1664="1111",TH!M1664="1111")),TH!D1664,""),"")</f>
        <v>T09</v>
      </c>
      <c r="B1664" s="36">
        <f t="shared" si="95"/>
        <v>10</v>
      </c>
      <c r="C1664" s="191">
        <f t="shared" si="96"/>
        <v>41213</v>
      </c>
      <c r="D1664" s="191" t="s">
        <v>1641</v>
      </c>
      <c r="E1664" s="191">
        <v>41213</v>
      </c>
      <c r="F1664" s="192" t="s">
        <v>365</v>
      </c>
      <c r="G1664" s="490" t="s">
        <v>1078</v>
      </c>
      <c r="H1664" s="193" t="s">
        <v>1079</v>
      </c>
      <c r="I1664" s="252"/>
      <c r="J1664" s="252"/>
      <c r="K1664" s="38">
        <v>11682000</v>
      </c>
      <c r="L1664" s="194" t="s">
        <v>48</v>
      </c>
      <c r="M1664" s="194" t="s">
        <v>284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/>
      <c r="AB1664" s="198"/>
      <c r="AC1664" s="198"/>
      <c r="AD1664" s="198"/>
    </row>
    <row r="1665" spans="1:30" ht="15.75" customHeight="1">
      <c r="A1665" s="204" t="str">
        <f>IF(B1665&lt;&gt;"",IF(AND(B1665&gt;=_TM1,B1665&lt;=_TM2,OR(TH!L1665="1111",TH!M1665="1111")),TH!D1665,""),"")</f>
        <v>C14</v>
      </c>
      <c r="B1665" s="36">
        <f t="shared" si="95"/>
        <v>11</v>
      </c>
      <c r="C1665" s="191">
        <v>41214</v>
      </c>
      <c r="D1665" s="191" t="s">
        <v>442</v>
      </c>
      <c r="E1665" s="191">
        <v>41214</v>
      </c>
      <c r="F1665" s="192" t="s">
        <v>396</v>
      </c>
      <c r="G1665" s="490" t="s">
        <v>361</v>
      </c>
      <c r="H1665" s="193" t="s">
        <v>684</v>
      </c>
      <c r="I1665" s="252"/>
      <c r="J1665" s="252"/>
      <c r="K1665" s="38">
        <v>62000000</v>
      </c>
      <c r="L1665" s="194" t="s">
        <v>24</v>
      </c>
      <c r="M1665" s="194" t="s">
        <v>48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customHeight="1">
      <c r="A1666" s="204" t="str">
        <f>IF(B1666&lt;&gt;"",IF(AND(B1666&gt;=_TM1,B1666&lt;=_TM2,OR(TH!L1666="1111",TH!M1666="1111")),TH!D1666,""),"")</f>
        <v/>
      </c>
      <c r="B1666" s="36">
        <f t="shared" si="95"/>
        <v>11</v>
      </c>
      <c r="C1666" s="191">
        <v>41215</v>
      </c>
      <c r="D1666" s="191" t="s">
        <v>364</v>
      </c>
      <c r="E1666" s="191">
        <v>41215</v>
      </c>
      <c r="F1666" s="192" t="s">
        <v>400</v>
      </c>
      <c r="G1666" s="490" t="s">
        <v>361</v>
      </c>
      <c r="H1666" s="7" t="s">
        <v>436</v>
      </c>
      <c r="I1666" s="252"/>
      <c r="J1666" s="252"/>
      <c r="K1666" s="38">
        <v>5000000</v>
      </c>
      <c r="L1666" s="616" t="s">
        <v>8</v>
      </c>
      <c r="M1666" s="194" t="s">
        <v>24</v>
      </c>
      <c r="N1666" s="52" t="str">
        <f>IF(AND('331-CT'!$E$7=TH!H1666,OR(L1666="331",M1666="331")),"331",IF(AND(OR(L1666="131",M1666="131"),H1666='131-CT'!$E$7),"131",""))</f>
        <v>331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95"/>
        <v>11</v>
      </c>
      <c r="C1667" s="191">
        <v>41215</v>
      </c>
      <c r="D1667" s="191" t="s">
        <v>364</v>
      </c>
      <c r="E1667" s="191">
        <v>41215</v>
      </c>
      <c r="F1667" s="192" t="s">
        <v>366</v>
      </c>
      <c r="G1667" s="490" t="s">
        <v>361</v>
      </c>
      <c r="H1667" s="193"/>
      <c r="I1667" s="252"/>
      <c r="J1667" s="252"/>
      <c r="K1667" s="38">
        <v>20000</v>
      </c>
      <c r="L1667" s="194" t="s">
        <v>84</v>
      </c>
      <c r="M1667" s="194" t="s">
        <v>24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>x</v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198"/>
      <c r="AC1667" s="198"/>
      <c r="AD1667" s="198"/>
    </row>
    <row r="1668" spans="1:30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95"/>
        <v>11</v>
      </c>
      <c r="C1668" s="191">
        <v>41215</v>
      </c>
      <c r="D1668" s="191" t="s">
        <v>364</v>
      </c>
      <c r="E1668" s="191">
        <v>41215</v>
      </c>
      <c r="F1668" s="192" t="s">
        <v>400</v>
      </c>
      <c r="G1668" s="490" t="s">
        <v>361</v>
      </c>
      <c r="H1668" s="7" t="s">
        <v>436</v>
      </c>
      <c r="I1668" s="252"/>
      <c r="J1668" s="252"/>
      <c r="K1668" s="38">
        <v>60000000</v>
      </c>
      <c r="L1668" s="616" t="s">
        <v>8</v>
      </c>
      <c r="M1668" s="194" t="s">
        <v>24</v>
      </c>
      <c r="N1668" s="52" t="str">
        <f>IF(AND('331-CT'!$E$7=TH!H1668,OR(L1668="331",M1668="331")),"331",IF(AND(OR(L1668="131",M1668="131"),H1668='131-CT'!$E$7),"131",""))</f>
        <v>331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>x</v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198"/>
      <c r="AC1668" s="198"/>
      <c r="AD1668" s="198"/>
    </row>
    <row r="1669" spans="1:30" ht="15.75" customHeight="1">
      <c r="A1669" s="204" t="str">
        <f>IF(B1669&lt;&gt;"",IF(AND(B1669&gt;=_TM1,B1669&lt;=_TM2,OR(TH!L1669="1111",TH!M1669="1111")),TH!D1669,""),"")</f>
        <v/>
      </c>
      <c r="B1669" s="36">
        <f t="shared" si="95"/>
        <v>11</v>
      </c>
      <c r="C1669" s="191">
        <v>41215</v>
      </c>
      <c r="D1669" s="191" t="s">
        <v>364</v>
      </c>
      <c r="E1669" s="191">
        <v>41215</v>
      </c>
      <c r="F1669" s="192" t="s">
        <v>366</v>
      </c>
      <c r="G1669" s="490" t="s">
        <v>361</v>
      </c>
      <c r="H1669" s="193"/>
      <c r="I1669" s="252"/>
      <c r="J1669" s="252"/>
      <c r="K1669" s="38">
        <v>30000</v>
      </c>
      <c r="L1669" s="194" t="s">
        <v>84</v>
      </c>
      <c r="M1669" s="194" t="s">
        <v>24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>x</v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30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95"/>
        <v>11</v>
      </c>
      <c r="C1670" s="191">
        <v>41215</v>
      </c>
      <c r="D1670" s="191" t="s">
        <v>364</v>
      </c>
      <c r="E1670" s="191">
        <v>41215</v>
      </c>
      <c r="F1670" s="192" t="s">
        <v>730</v>
      </c>
      <c r="G1670" s="490" t="s">
        <v>361</v>
      </c>
      <c r="H1670" s="193"/>
      <c r="I1670" s="252"/>
      <c r="J1670" s="252"/>
      <c r="K1670" s="38">
        <v>18600</v>
      </c>
      <c r="L1670" s="194" t="s">
        <v>84</v>
      </c>
      <c r="M1670" s="194" t="s">
        <v>24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>x</v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/>
      <c r="AB1670" s="198"/>
      <c r="AC1670" s="198"/>
      <c r="AD1670" s="198"/>
    </row>
    <row r="1671" spans="1:30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95"/>
        <v>11</v>
      </c>
      <c r="C1671" s="191">
        <v>41220</v>
      </c>
      <c r="D1671" s="191" t="s">
        <v>363</v>
      </c>
      <c r="E1671" s="191">
        <v>41220</v>
      </c>
      <c r="F1671" s="192" t="s">
        <v>365</v>
      </c>
      <c r="G1671" s="192" t="s">
        <v>361</v>
      </c>
      <c r="H1671" s="7" t="s">
        <v>632</v>
      </c>
      <c r="I1671" s="252"/>
      <c r="J1671" s="252"/>
      <c r="K1671" s="38">
        <v>41606356</v>
      </c>
      <c r="L1671" s="194" t="s">
        <v>24</v>
      </c>
      <c r="M1671" s="194" t="s">
        <v>284</v>
      </c>
      <c r="N1671" s="52" t="str">
        <f>IF(AND('331-CT'!$E$7=TH!H1671,OR(L1671="331",M1671="331")),"331",IF(AND(OR(L1671="131",M1671="131"),H1671='131-CT'!$E$7),"131",""))</f>
        <v>131</v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>x</v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95"/>
        <v>11</v>
      </c>
      <c r="C1672" s="191">
        <v>41221</v>
      </c>
      <c r="D1672" s="191" t="s">
        <v>363</v>
      </c>
      <c r="E1672" s="191">
        <v>41221</v>
      </c>
      <c r="F1672" s="192" t="s">
        <v>365</v>
      </c>
      <c r="G1672" s="192" t="s">
        <v>361</v>
      </c>
      <c r="H1672" s="45" t="s">
        <v>891</v>
      </c>
      <c r="I1672" s="252"/>
      <c r="J1672" s="252"/>
      <c r="K1672" s="38">
        <v>18293000</v>
      </c>
      <c r="L1672" s="194" t="s">
        <v>24</v>
      </c>
      <c r="M1672" s="194" t="s">
        <v>284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>x</v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198"/>
      <c r="AB1672" s="198"/>
      <c r="AC1672" s="198"/>
      <c r="AD1672" s="198"/>
    </row>
    <row r="1673" spans="1:30" ht="15.75" customHeight="1">
      <c r="A1673" s="204" t="str">
        <f>IF(B1673&lt;&gt;"",IF(AND(B1673&gt;=_TM1,B1673&lt;=_TM2,OR(TH!L1673="1111",TH!M1673="1111")),TH!D1673,""),"")</f>
        <v>T10</v>
      </c>
      <c r="B1673" s="36">
        <f t="shared" si="95"/>
        <v>11</v>
      </c>
      <c r="C1673" s="191">
        <v>41222</v>
      </c>
      <c r="D1673" s="191" t="s">
        <v>1642</v>
      </c>
      <c r="E1673" s="191">
        <v>41222</v>
      </c>
      <c r="F1673" s="192" t="s">
        <v>559</v>
      </c>
      <c r="G1673" s="192" t="s">
        <v>361</v>
      </c>
      <c r="H1673" s="193" t="s">
        <v>684</v>
      </c>
      <c r="I1673" s="252"/>
      <c r="J1673" s="252"/>
      <c r="K1673" s="38">
        <v>41000000</v>
      </c>
      <c r="L1673" s="194" t="s">
        <v>48</v>
      </c>
      <c r="M1673" s="194" t="s">
        <v>24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>x</v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30" ht="15.75" customHeight="1">
      <c r="A1674" s="204" t="str">
        <f>IF(B1674&lt;&gt;"",IF(AND(B1674&gt;=_TM1,B1674&lt;=_TM2,OR(TH!L1674="1111",TH!M1674="1111")),TH!D1674,""),"")</f>
        <v>T11</v>
      </c>
      <c r="B1674" s="36">
        <f t="shared" si="95"/>
        <v>11</v>
      </c>
      <c r="C1674" s="191">
        <v>41222</v>
      </c>
      <c r="D1674" s="191" t="s">
        <v>1643</v>
      </c>
      <c r="E1674" s="191">
        <v>41222</v>
      </c>
      <c r="F1674" s="192" t="s">
        <v>559</v>
      </c>
      <c r="G1674" s="192" t="s">
        <v>361</v>
      </c>
      <c r="H1674" s="193" t="s">
        <v>684</v>
      </c>
      <c r="I1674" s="252"/>
      <c r="J1674" s="252"/>
      <c r="K1674" s="38">
        <v>19000000</v>
      </c>
      <c r="L1674" s="194" t="s">
        <v>48</v>
      </c>
      <c r="M1674" s="194" t="s">
        <v>24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>x</v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30" s="211" customFormat="1" ht="15.75" customHeight="1">
      <c r="A1675" s="204" t="str">
        <f>IF(B1675&lt;&gt;"",IF(AND(B1675&gt;=_TM1,B1675&lt;=_TM2,OR(TH!L1675="1111",TH!M1675="1111")),TH!D1675,""),"")</f>
        <v>C15</v>
      </c>
      <c r="B1675" s="36">
        <f t="shared" si="95"/>
        <v>11</v>
      </c>
      <c r="C1675" s="191">
        <v>41223</v>
      </c>
      <c r="D1675" s="191" t="s">
        <v>443</v>
      </c>
      <c r="E1675" s="191">
        <v>41223</v>
      </c>
      <c r="F1675" s="192" t="s">
        <v>892</v>
      </c>
      <c r="G1675" s="192" t="s">
        <v>893</v>
      </c>
      <c r="H1675" s="193" t="s">
        <v>401</v>
      </c>
      <c r="I1675" s="252"/>
      <c r="J1675" s="252"/>
      <c r="K1675" s="38">
        <v>4580000</v>
      </c>
      <c r="L1675" s="194" t="s">
        <v>175</v>
      </c>
      <c r="M1675" s="194" t="s">
        <v>48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/>
      <c r="AB1675" s="198"/>
      <c r="AC1675" s="198"/>
      <c r="AD1675" s="198"/>
    </row>
    <row r="1676" spans="1:30" s="211" customFormat="1" ht="15.75" customHeight="1">
      <c r="A1676" s="204" t="str">
        <f>IF(B1676&lt;&gt;"",IF(AND(B1676&gt;=_TM1,B1676&lt;=_TM2,OR(TH!L1676="1111",TH!M1676="1111")),TH!D1676,""),"")</f>
        <v>C15</v>
      </c>
      <c r="B1676" s="36">
        <f t="shared" si="95"/>
        <v>11</v>
      </c>
      <c r="C1676" s="191">
        <v>41223</v>
      </c>
      <c r="D1676" s="191" t="s">
        <v>443</v>
      </c>
      <c r="E1676" s="191">
        <v>41223</v>
      </c>
      <c r="F1676" s="192" t="s">
        <v>372</v>
      </c>
      <c r="G1676" s="192" t="s">
        <v>893</v>
      </c>
      <c r="H1676" s="193" t="s">
        <v>401</v>
      </c>
      <c r="I1676" s="252"/>
      <c r="J1676" s="252"/>
      <c r="K1676" s="38">
        <v>458000</v>
      </c>
      <c r="L1676" s="194" t="s">
        <v>9</v>
      </c>
      <c r="M1676" s="194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>
        <v>11</v>
      </c>
      <c r="AB1676" s="198"/>
      <c r="AC1676" s="198"/>
      <c r="AD1676" s="198"/>
    </row>
    <row r="1677" spans="1:30" ht="15.75" customHeight="1">
      <c r="A1677" s="204" t="str">
        <f>IF(B1677&lt;&gt;"",IF(AND(B1677&gt;=_TM1,B1677&lt;=_TM2,OR(TH!L1677="1111",TH!M1677="1111")),TH!D1677,""),"")</f>
        <v/>
      </c>
      <c r="B1677" s="36">
        <f t="shared" si="95"/>
        <v>11</v>
      </c>
      <c r="C1677" s="191">
        <f t="shared" ref="C1677:C1686" si="98">E1677</f>
        <v>41226</v>
      </c>
      <c r="D1677" s="191" t="s">
        <v>1599</v>
      </c>
      <c r="E1677" s="191">
        <v>41226</v>
      </c>
      <c r="F1677" s="192" t="s">
        <v>1118</v>
      </c>
      <c r="G1677" s="490" t="s">
        <v>1085</v>
      </c>
      <c r="H1677" s="7" t="s">
        <v>632</v>
      </c>
      <c r="I1677" s="252">
        <v>1619</v>
      </c>
      <c r="J1677" s="252">
        <v>5400</v>
      </c>
      <c r="K1677" s="38">
        <f>ROUND(I1677*J1677,0)</f>
        <v>8742600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>131</v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ht="15.75" customHeight="1">
      <c r="A1678" s="204" t="str">
        <f>IF(B1678&lt;&gt;"",IF(AND(B1678&gt;=_TM1,B1678&lt;=_TM2,OR(TH!L1678="1111",TH!M1678="1111")),TH!D1678,""),"")</f>
        <v/>
      </c>
      <c r="B1678" s="36">
        <f t="shared" si="95"/>
        <v>11</v>
      </c>
      <c r="C1678" s="191">
        <f t="shared" si="98"/>
        <v>41226</v>
      </c>
      <c r="D1678" s="191" t="s">
        <v>1599</v>
      </c>
      <c r="E1678" s="191">
        <v>41226</v>
      </c>
      <c r="F1678" s="192" t="s">
        <v>1131</v>
      </c>
      <c r="G1678" s="490" t="s">
        <v>1085</v>
      </c>
      <c r="H1678" s="7" t="s">
        <v>632</v>
      </c>
      <c r="I1678" s="252">
        <v>608</v>
      </c>
      <c r="J1678" s="252">
        <v>13200</v>
      </c>
      <c r="K1678" s="38">
        <f>ROUND(I1678*J1678,0)</f>
        <v>8025600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>131</v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211"/>
      <c r="AB1678" s="211"/>
      <c r="AC1678" s="211"/>
      <c r="AD1678" s="211"/>
    </row>
    <row r="1679" spans="1:30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95"/>
        <v>11</v>
      </c>
      <c r="C1679" s="191">
        <f t="shared" si="98"/>
        <v>41226</v>
      </c>
      <c r="D1679" s="191" t="s">
        <v>1599</v>
      </c>
      <c r="E1679" s="191">
        <v>41226</v>
      </c>
      <c r="F1679" s="192" t="s">
        <v>1117</v>
      </c>
      <c r="G1679" s="490" t="s">
        <v>1085</v>
      </c>
      <c r="H1679" s="7" t="s">
        <v>632</v>
      </c>
      <c r="I1679" s="252">
        <v>602</v>
      </c>
      <c r="J1679" s="252">
        <v>10300</v>
      </c>
      <c r="K1679" s="38">
        <f>ROUND(I1679*J1679,0)</f>
        <v>6200600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>131</v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95"/>
        <v>11</v>
      </c>
      <c r="C1680" s="191">
        <f t="shared" si="98"/>
        <v>41226</v>
      </c>
      <c r="D1680" s="191" t="s">
        <v>1599</v>
      </c>
      <c r="E1680" s="191">
        <v>41226</v>
      </c>
      <c r="F1680" s="192" t="s">
        <v>555</v>
      </c>
      <c r="G1680" s="490" t="s">
        <v>1085</v>
      </c>
      <c r="H1680" s="7" t="s">
        <v>632</v>
      </c>
      <c r="I1680" s="252"/>
      <c r="J1680" s="252"/>
      <c r="K1680" s="38">
        <v>2296880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>131</v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95"/>
        <v>11</v>
      </c>
      <c r="C1681" s="191">
        <f t="shared" si="98"/>
        <v>41228</v>
      </c>
      <c r="D1681" s="191" t="s">
        <v>1600</v>
      </c>
      <c r="E1681" s="191">
        <v>41228</v>
      </c>
      <c r="F1681" s="189" t="s">
        <v>1121</v>
      </c>
      <c r="G1681" s="490" t="s">
        <v>1086</v>
      </c>
      <c r="H1681" s="193" t="s">
        <v>958</v>
      </c>
      <c r="I1681" s="252">
        <v>506</v>
      </c>
      <c r="J1681" s="252">
        <v>8000</v>
      </c>
      <c r="K1681" s="38">
        <f>ROUND(I1681*J1681,0)</f>
        <v>4048000</v>
      </c>
      <c r="L1681" s="194" t="s">
        <v>284</v>
      </c>
      <c r="M1681" s="194" t="s">
        <v>185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30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95"/>
        <v>11</v>
      </c>
      <c r="C1682" s="191">
        <f t="shared" si="98"/>
        <v>41228</v>
      </c>
      <c r="D1682" s="191" t="s">
        <v>1600</v>
      </c>
      <c r="E1682" s="191">
        <v>41228</v>
      </c>
      <c r="F1682" s="192" t="s">
        <v>1130</v>
      </c>
      <c r="G1682" s="490" t="s">
        <v>1086</v>
      </c>
      <c r="H1682" s="193" t="s">
        <v>958</v>
      </c>
      <c r="I1682" s="252">
        <v>105</v>
      </c>
      <c r="J1682" s="252">
        <v>11000</v>
      </c>
      <c r="K1682" s="38">
        <f>ROUND(I1682*J1682,0)</f>
        <v>1155000</v>
      </c>
      <c r="L1682" s="194" t="s">
        <v>284</v>
      </c>
      <c r="M1682" s="194" t="s">
        <v>185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30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95"/>
        <v>11</v>
      </c>
      <c r="C1683" s="191">
        <f t="shared" si="98"/>
        <v>41228</v>
      </c>
      <c r="D1683" s="191" t="s">
        <v>1600</v>
      </c>
      <c r="E1683" s="191">
        <v>41228</v>
      </c>
      <c r="F1683" s="192" t="s">
        <v>555</v>
      </c>
      <c r="G1683" s="490" t="s">
        <v>1086</v>
      </c>
      <c r="H1683" s="193" t="s">
        <v>958</v>
      </c>
      <c r="I1683" s="252"/>
      <c r="J1683" s="252"/>
      <c r="K1683" s="38">
        <v>520300</v>
      </c>
      <c r="L1683" s="194" t="s">
        <v>284</v>
      </c>
      <c r="M1683" s="194" t="s">
        <v>495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198"/>
      <c r="AC1683" s="198"/>
      <c r="AD1683" s="198"/>
    </row>
    <row r="1684" spans="1:30" ht="15.75" customHeight="1">
      <c r="A1684" s="204" t="str">
        <f>IF(B1684&lt;&gt;"",IF(AND(B1684&gt;=_TM1,B1684&lt;=_TM2,OR(TH!L1684="1111",TH!M1684="1111")),TH!D1684,""),"")</f>
        <v>T12</v>
      </c>
      <c r="B1684" s="36">
        <f t="shared" si="95"/>
        <v>11</v>
      </c>
      <c r="C1684" s="191">
        <f t="shared" si="98"/>
        <v>41228</v>
      </c>
      <c r="D1684" s="191" t="s">
        <v>1644</v>
      </c>
      <c r="E1684" s="191">
        <v>41228</v>
      </c>
      <c r="F1684" s="192" t="s">
        <v>365</v>
      </c>
      <c r="G1684" s="490" t="s">
        <v>1086</v>
      </c>
      <c r="H1684" s="193" t="s">
        <v>958</v>
      </c>
      <c r="I1684" s="252"/>
      <c r="J1684" s="252"/>
      <c r="K1684" s="38">
        <v>5723300</v>
      </c>
      <c r="L1684" s="194" t="s">
        <v>48</v>
      </c>
      <c r="M1684" s="194" t="s">
        <v>284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30" ht="15.75" customHeight="1">
      <c r="A1685" s="204" t="str">
        <f>IF(B1685&lt;&gt;"",IF(AND(B1685&gt;=_TM1,B1685&lt;=_TM2,OR(TH!L1685="1111",TH!M1685="1111")),TH!D1685,""),"")</f>
        <v/>
      </c>
      <c r="B1685" s="36">
        <f t="shared" ref="B1685:B1748" si="99">IF(C1685&lt;&gt;"",MONTH(C1685),"")</f>
        <v>11</v>
      </c>
      <c r="C1685" s="191">
        <f t="shared" si="98"/>
        <v>41228</v>
      </c>
      <c r="D1685" s="191" t="s">
        <v>1601</v>
      </c>
      <c r="E1685" s="191">
        <v>41228</v>
      </c>
      <c r="F1685" s="192" t="s">
        <v>1114</v>
      </c>
      <c r="G1685" s="490" t="s">
        <v>1087</v>
      </c>
      <c r="H1685" s="7" t="s">
        <v>500</v>
      </c>
      <c r="I1685" s="252">
        <v>1005</v>
      </c>
      <c r="J1685" s="252">
        <v>13630</v>
      </c>
      <c r="K1685" s="38">
        <f>ROUND(I1685*J1685,0)</f>
        <v>13698150</v>
      </c>
      <c r="L1685" s="194" t="s">
        <v>284</v>
      </c>
      <c r="M1685" s="194" t="s">
        <v>185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211"/>
      <c r="AB1685" s="211"/>
      <c r="AC1685" s="211"/>
      <c r="AD1685" s="211"/>
    </row>
    <row r="1686" spans="1:30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99"/>
        <v>11</v>
      </c>
      <c r="C1686" s="191">
        <f t="shared" si="98"/>
        <v>41228</v>
      </c>
      <c r="D1686" s="191" t="s">
        <v>1601</v>
      </c>
      <c r="E1686" s="191">
        <v>41228</v>
      </c>
      <c r="F1686" s="192" t="s">
        <v>555</v>
      </c>
      <c r="G1686" s="490" t="s">
        <v>1087</v>
      </c>
      <c r="H1686" s="7" t="s">
        <v>500</v>
      </c>
      <c r="I1686" s="252"/>
      <c r="J1686" s="252"/>
      <c r="K1686" s="38">
        <v>1369815</v>
      </c>
      <c r="L1686" s="194" t="s">
        <v>284</v>
      </c>
      <c r="M1686" s="194" t="s">
        <v>495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s="211" customFormat="1" ht="15.75" customHeight="1">
      <c r="A1687" s="204" t="str">
        <f>IF(B1687&lt;&gt;"",IF(AND(B1687&gt;=_TM1,B1687&lt;=_TM2,OR(TH!L1687="1111",TH!M1687="1111")),TH!D1687,""),"")</f>
        <v>C16</v>
      </c>
      <c r="B1687" s="36">
        <f t="shared" si="99"/>
        <v>11</v>
      </c>
      <c r="C1687" s="191">
        <v>41232</v>
      </c>
      <c r="D1687" s="191" t="s">
        <v>444</v>
      </c>
      <c r="E1687" s="191">
        <v>41232</v>
      </c>
      <c r="F1687" s="192" t="s">
        <v>894</v>
      </c>
      <c r="G1687" s="192" t="s">
        <v>895</v>
      </c>
      <c r="H1687" s="193" t="s">
        <v>401</v>
      </c>
      <c r="I1687" s="252"/>
      <c r="J1687" s="252"/>
      <c r="K1687" s="38">
        <v>1340000</v>
      </c>
      <c r="L1687" s="194" t="s">
        <v>175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198"/>
      <c r="AB1687" s="198"/>
      <c r="AC1687" s="198"/>
      <c r="AD1687" s="198"/>
    </row>
    <row r="1688" spans="1:30" ht="15.75" customHeight="1">
      <c r="A1688" s="204" t="str">
        <f>IF(B1688&lt;&gt;"",IF(AND(B1688&gt;=_TM1,B1688&lt;=_TM2,OR(TH!L1688="1111",TH!M1688="1111")),TH!D1688,""),"")</f>
        <v>C16</v>
      </c>
      <c r="B1688" s="36">
        <f t="shared" si="99"/>
        <v>11</v>
      </c>
      <c r="C1688" s="191">
        <v>41232</v>
      </c>
      <c r="D1688" s="191" t="s">
        <v>444</v>
      </c>
      <c r="E1688" s="191">
        <v>41232</v>
      </c>
      <c r="F1688" s="192" t="s">
        <v>372</v>
      </c>
      <c r="G1688" s="192" t="s">
        <v>895</v>
      </c>
      <c r="H1688" s="193" t="s">
        <v>401</v>
      </c>
      <c r="I1688" s="252"/>
      <c r="J1688" s="252"/>
      <c r="K1688" s="38">
        <v>134000</v>
      </c>
      <c r="L1688" s="194" t="s">
        <v>9</v>
      </c>
      <c r="M1688" s="194" t="s">
        <v>48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>
        <v>11</v>
      </c>
    </row>
    <row r="1689" spans="1:30" ht="15.75" customHeight="1">
      <c r="A1689" s="204" t="str">
        <f>IF(B1689&lt;&gt;"",IF(AND(B1689&gt;=_TM1,B1689&lt;=_TM2,OR(TH!L1689="1111",TH!M1689="1111")),TH!D1689,""),"")</f>
        <v/>
      </c>
      <c r="B1689" s="885">
        <f t="shared" si="99"/>
        <v>11</v>
      </c>
      <c r="C1689" s="886">
        <f t="shared" ref="C1689:C1697" si="100">E1689</f>
        <v>41235</v>
      </c>
      <c r="D1689" s="886" t="s">
        <v>459</v>
      </c>
      <c r="E1689" s="886">
        <v>41235</v>
      </c>
      <c r="F1689" s="887" t="s">
        <v>370</v>
      </c>
      <c r="G1689" s="888" t="s">
        <v>1475</v>
      </c>
      <c r="H1689" s="889" t="s">
        <v>406</v>
      </c>
      <c r="I1689" s="890">
        <v>72</v>
      </c>
      <c r="J1689" s="890">
        <v>42000</v>
      </c>
      <c r="K1689" s="896">
        <v>3024000</v>
      </c>
      <c r="L1689" s="892" t="s">
        <v>171</v>
      </c>
      <c r="M1689" s="893" t="s">
        <v>8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94"/>
      <c r="AB1689" s="894"/>
      <c r="AC1689" s="894"/>
      <c r="AD1689" s="894"/>
    </row>
    <row r="1690" spans="1:30" s="211" customFormat="1" ht="15.75" customHeight="1">
      <c r="A1690" s="204" t="str">
        <f>IF(B1690&lt;&gt;"",IF(AND(B1690&gt;=_TM1,B1690&lt;=_TM2,OR(TH!L1690="1111",TH!M1690="1111")),TH!D1690,""),"")</f>
        <v/>
      </c>
      <c r="B1690" s="885">
        <f t="shared" si="99"/>
        <v>11</v>
      </c>
      <c r="C1690" s="886">
        <f t="shared" si="100"/>
        <v>41235</v>
      </c>
      <c r="D1690" s="886" t="s">
        <v>459</v>
      </c>
      <c r="E1690" s="886">
        <v>41235</v>
      </c>
      <c r="F1690" s="887" t="s">
        <v>371</v>
      </c>
      <c r="G1690" s="888" t="s">
        <v>1475</v>
      </c>
      <c r="H1690" s="889" t="s">
        <v>406</v>
      </c>
      <c r="I1690" s="890"/>
      <c r="J1690" s="890"/>
      <c r="K1690" s="896">
        <v>302400</v>
      </c>
      <c r="L1690" s="892" t="s">
        <v>9</v>
      </c>
      <c r="M1690" s="893" t="s">
        <v>8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94">
        <v>11</v>
      </c>
      <c r="AB1690" s="894"/>
      <c r="AC1690" s="894"/>
      <c r="AD1690" s="894"/>
    </row>
    <row r="1691" spans="1:30" ht="15.75" customHeight="1">
      <c r="A1691" s="204" t="str">
        <f>IF(B1691&lt;&gt;"",IF(AND(B1691&gt;=_TM1,B1691&lt;=_TM2,OR(TH!L1691="1111",TH!M1691="1111")),TH!D1691,""),"")</f>
        <v>C17</v>
      </c>
      <c r="B1691" s="885">
        <f t="shared" si="99"/>
        <v>11</v>
      </c>
      <c r="C1691" s="886">
        <f t="shared" si="100"/>
        <v>41235</v>
      </c>
      <c r="D1691" s="886" t="s">
        <v>446</v>
      </c>
      <c r="E1691" s="886">
        <v>41235</v>
      </c>
      <c r="F1691" s="887" t="s">
        <v>400</v>
      </c>
      <c r="G1691" s="888" t="s">
        <v>1475</v>
      </c>
      <c r="H1691" s="889" t="s">
        <v>406</v>
      </c>
      <c r="I1691" s="890"/>
      <c r="J1691" s="890"/>
      <c r="K1691" s="896">
        <v>3326400</v>
      </c>
      <c r="L1691" s="616" t="s">
        <v>8</v>
      </c>
      <c r="M1691" s="616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94"/>
      <c r="AB1691" s="894"/>
      <c r="AC1691" s="894"/>
      <c r="AD1691" s="894"/>
    </row>
    <row r="1692" spans="1:30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99"/>
        <v>11</v>
      </c>
      <c r="C1692" s="191">
        <f t="shared" si="100"/>
        <v>41235</v>
      </c>
      <c r="D1692" s="191" t="s">
        <v>1602</v>
      </c>
      <c r="E1692" s="191">
        <v>41235</v>
      </c>
      <c r="F1692" s="879" t="s">
        <v>1129</v>
      </c>
      <c r="G1692" s="490" t="s">
        <v>1088</v>
      </c>
      <c r="H1692" s="193" t="s">
        <v>997</v>
      </c>
      <c r="I1692" s="252">
        <v>220</v>
      </c>
      <c r="J1692" s="252">
        <v>10650</v>
      </c>
      <c r="K1692" s="38">
        <f>ROUND(I1692*J1692,0)</f>
        <v>2343000</v>
      </c>
      <c r="L1692" s="194" t="s">
        <v>284</v>
      </c>
      <c r="M1692" s="194" t="s">
        <v>185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30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99"/>
        <v>11</v>
      </c>
      <c r="C1693" s="191">
        <f t="shared" si="100"/>
        <v>41235</v>
      </c>
      <c r="D1693" s="191" t="s">
        <v>1602</v>
      </c>
      <c r="E1693" s="191">
        <v>41235</v>
      </c>
      <c r="F1693" s="192" t="s">
        <v>1128</v>
      </c>
      <c r="G1693" s="490" t="s">
        <v>1088</v>
      </c>
      <c r="H1693" s="193" t="s">
        <v>997</v>
      </c>
      <c r="I1693" s="252">
        <v>258</v>
      </c>
      <c r="J1693" s="252">
        <v>13700</v>
      </c>
      <c r="K1693" s="38">
        <f>ROUND(I1693*J1693,0)</f>
        <v>3534600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ht="15.75" customHeight="1">
      <c r="A1694" s="204" t="str">
        <f>IF(B1694&lt;&gt;"",IF(AND(B1694&gt;=_TM1,B1694&lt;=_TM2,OR(TH!L1694="1111",TH!M1694="1111")),TH!D1694,""),"")</f>
        <v/>
      </c>
      <c r="B1694" s="36">
        <f t="shared" si="99"/>
        <v>11</v>
      </c>
      <c r="C1694" s="191">
        <f t="shared" si="100"/>
        <v>41235</v>
      </c>
      <c r="D1694" s="191" t="s">
        <v>1602</v>
      </c>
      <c r="E1694" s="191">
        <v>41235</v>
      </c>
      <c r="F1694" s="192" t="s">
        <v>1127</v>
      </c>
      <c r="G1694" s="490" t="s">
        <v>1088</v>
      </c>
      <c r="H1694" s="193" t="s">
        <v>997</v>
      </c>
      <c r="I1694" s="252">
        <v>295</v>
      </c>
      <c r="J1694" s="252">
        <v>11900</v>
      </c>
      <c r="K1694" s="38">
        <f>ROUND(I1694*J1694,0)</f>
        <v>3510500</v>
      </c>
      <c r="L1694" s="194" t="s">
        <v>284</v>
      </c>
      <c r="M1694" s="194" t="s">
        <v>185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211"/>
      <c r="AB1694" s="211"/>
      <c r="AC1694" s="211"/>
      <c r="AD1694" s="211"/>
    </row>
    <row r="1695" spans="1:30" ht="15.75" customHeight="1">
      <c r="A1695" s="204" t="str">
        <f>IF(B1695&lt;&gt;"",IF(AND(B1695&gt;=_TM1,B1695&lt;=_TM2,OR(TH!L1695="1111",TH!M1695="1111")),TH!D1695,""),"")</f>
        <v/>
      </c>
      <c r="B1695" s="36">
        <f t="shared" si="99"/>
        <v>11</v>
      </c>
      <c r="C1695" s="191">
        <f t="shared" si="100"/>
        <v>41235</v>
      </c>
      <c r="D1695" s="191" t="s">
        <v>1602</v>
      </c>
      <c r="E1695" s="191">
        <v>41235</v>
      </c>
      <c r="F1695" s="192" t="s">
        <v>1126</v>
      </c>
      <c r="G1695" s="490" t="s">
        <v>1088</v>
      </c>
      <c r="H1695" s="193" t="s">
        <v>997</v>
      </c>
      <c r="I1695" s="252">
        <v>297</v>
      </c>
      <c r="J1695" s="252">
        <v>12600</v>
      </c>
      <c r="K1695" s="38">
        <f>ROUND(I1695*J1695,0)</f>
        <v>3742200</v>
      </c>
      <c r="L1695" s="194" t="s">
        <v>284</v>
      </c>
      <c r="M1695" s="194" t="s">
        <v>185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211"/>
      <c r="AB1695" s="211"/>
      <c r="AC1695" s="211"/>
      <c r="AD1695" s="211"/>
    </row>
    <row r="1696" spans="1:30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99"/>
        <v>11</v>
      </c>
      <c r="C1696" s="191">
        <f t="shared" si="100"/>
        <v>41235</v>
      </c>
      <c r="D1696" s="191" t="s">
        <v>1602</v>
      </c>
      <c r="E1696" s="191">
        <v>41235</v>
      </c>
      <c r="F1696" s="192" t="s">
        <v>555</v>
      </c>
      <c r="G1696" s="490" t="s">
        <v>1088</v>
      </c>
      <c r="H1696" s="193" t="s">
        <v>997</v>
      </c>
      <c r="I1696" s="252"/>
      <c r="J1696" s="252"/>
      <c r="K1696" s="38">
        <v>1313030</v>
      </c>
      <c r="L1696" s="194" t="s">
        <v>284</v>
      </c>
      <c r="M1696" s="194" t="s">
        <v>495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198"/>
      <c r="AB1696" s="198"/>
      <c r="AC1696" s="198"/>
      <c r="AD1696" s="198"/>
    </row>
    <row r="1697" spans="1:30" s="211" customFormat="1" ht="15.75" customHeight="1">
      <c r="A1697" s="204" t="str">
        <f>IF(B1697&lt;&gt;"",IF(AND(B1697&gt;=_TM1,B1697&lt;=_TM2,OR(TH!L1697="1111",TH!M1697="1111")),TH!D1697,""),"")</f>
        <v>T13</v>
      </c>
      <c r="B1697" s="36">
        <f t="shared" si="99"/>
        <v>11</v>
      </c>
      <c r="C1697" s="191">
        <f t="shared" si="100"/>
        <v>41235</v>
      </c>
      <c r="D1697" s="191" t="s">
        <v>1645</v>
      </c>
      <c r="E1697" s="191">
        <v>41235</v>
      </c>
      <c r="F1697" s="192" t="s">
        <v>365</v>
      </c>
      <c r="G1697" s="490" t="s">
        <v>1088</v>
      </c>
      <c r="H1697" s="193" t="s">
        <v>997</v>
      </c>
      <c r="I1697" s="252"/>
      <c r="J1697" s="252"/>
      <c r="K1697" s="38">
        <v>14443330</v>
      </c>
      <c r="L1697" s="194" t="s">
        <v>48</v>
      </c>
      <c r="M1697" s="194" t="s">
        <v>284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198"/>
      <c r="AB1697" s="198"/>
      <c r="AC1697" s="198"/>
      <c r="AD1697" s="198"/>
    </row>
    <row r="1698" spans="1:30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99"/>
        <v>11</v>
      </c>
      <c r="C1698" s="191">
        <v>41237</v>
      </c>
      <c r="D1698" s="191" t="s">
        <v>363</v>
      </c>
      <c r="E1698" s="191">
        <v>41237</v>
      </c>
      <c r="F1698" s="192" t="s">
        <v>398</v>
      </c>
      <c r="G1698" s="192" t="s">
        <v>361</v>
      </c>
      <c r="H1698" s="193"/>
      <c r="I1698" s="252"/>
      <c r="J1698" s="252"/>
      <c r="K1698" s="38">
        <v>10978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>x</v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198"/>
      <c r="AB1698" s="198"/>
      <c r="AC1698" s="198"/>
      <c r="AD1698" s="198"/>
    </row>
    <row r="1699" spans="1:30" ht="15.75" customHeight="1">
      <c r="A1699" s="204" t="str">
        <f>IF(B1699&lt;&gt;"",IF(AND(B1699&gt;=_TM1,B1699&lt;=_TM2,OR(TH!L1699="1111",TH!M1699="1111")),TH!D1699,""),"")</f>
        <v/>
      </c>
      <c r="B1699" s="36">
        <f t="shared" si="99"/>
        <v>11</v>
      </c>
      <c r="C1699" s="191">
        <v>41239</v>
      </c>
      <c r="D1699" s="191" t="s">
        <v>363</v>
      </c>
      <c r="E1699" s="191">
        <v>41239</v>
      </c>
      <c r="F1699" s="192" t="s">
        <v>365</v>
      </c>
      <c r="G1699" s="192" t="s">
        <v>361</v>
      </c>
      <c r="H1699" s="7" t="s">
        <v>500</v>
      </c>
      <c r="I1699" s="254"/>
      <c r="J1699" s="254"/>
      <c r="K1699" s="38">
        <v>9064000</v>
      </c>
      <c r="L1699" s="194" t="s">
        <v>24</v>
      </c>
      <c r="M1699" s="194" t="s">
        <v>284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>x</v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30" s="211" customFormat="1" ht="15.75" customHeight="1">
      <c r="A1700" s="204" t="str">
        <f>IF(B1700&lt;&gt;"",IF(AND(B1700&gt;=_TM1,B1700&lt;=_TM2,OR(TH!L1700="1111",TH!M1700="1111")),TH!D1700,""),"")</f>
        <v>T14</v>
      </c>
      <c r="B1700" s="36">
        <f t="shared" si="99"/>
        <v>11</v>
      </c>
      <c r="C1700" s="191">
        <v>41242</v>
      </c>
      <c r="D1700" s="191" t="s">
        <v>1646</v>
      </c>
      <c r="E1700" s="191">
        <v>41242</v>
      </c>
      <c r="F1700" s="192" t="s">
        <v>559</v>
      </c>
      <c r="G1700" s="192" t="s">
        <v>361</v>
      </c>
      <c r="H1700" s="193" t="s">
        <v>896</v>
      </c>
      <c r="I1700" s="252"/>
      <c r="J1700" s="252"/>
      <c r="K1700" s="38">
        <v>9000000</v>
      </c>
      <c r="L1700" s="194" t="s">
        <v>48</v>
      </c>
      <c r="M1700" s="194" t="s">
        <v>24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>x</v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99"/>
        <v>11</v>
      </c>
      <c r="C1701" s="740">
        <f>E1701</f>
        <v>41243</v>
      </c>
      <c r="D1701" s="740" t="s">
        <v>367</v>
      </c>
      <c r="E1701" s="853">
        <v>41243</v>
      </c>
      <c r="F1701" s="741" t="s">
        <v>1584</v>
      </c>
      <c r="G1701" s="742"/>
      <c r="H1701" s="629"/>
      <c r="I1701" s="487"/>
      <c r="J1701" s="487"/>
      <c r="K1701" s="743">
        <v>9325000</v>
      </c>
      <c r="L1701" s="744" t="s">
        <v>84</v>
      </c>
      <c r="M1701" s="744" t="s">
        <v>287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606"/>
      <c r="AB1701" s="606"/>
      <c r="AC1701" s="606"/>
      <c r="AD1701" s="606"/>
    </row>
    <row r="1702" spans="1:30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99"/>
        <v>11</v>
      </c>
      <c r="C1702" s="740">
        <f>E1702</f>
        <v>41243</v>
      </c>
      <c r="D1702" s="740" t="s">
        <v>367</v>
      </c>
      <c r="E1702" s="853">
        <v>41243</v>
      </c>
      <c r="F1702" s="741" t="s">
        <v>511</v>
      </c>
      <c r="G1702" s="742"/>
      <c r="H1702" s="629"/>
      <c r="I1702" s="487"/>
      <c r="J1702" s="487"/>
      <c r="K1702" s="743">
        <v>13450000</v>
      </c>
      <c r="L1702" s="744" t="s">
        <v>175</v>
      </c>
      <c r="M1702" s="744" t="s">
        <v>287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606"/>
      <c r="AB1702" s="606"/>
      <c r="AC1702" s="606"/>
      <c r="AD1702" s="606"/>
    </row>
    <row r="1703" spans="1:30" ht="15.75" customHeight="1">
      <c r="A1703" s="204" t="str">
        <f>IF(B1703&lt;&gt;"",IF(AND(B1703&gt;=_TM1,B1703&lt;=_TM2,OR(TH!L1703="1111",TH!M1703="1111")),TH!D1703,""),"")</f>
        <v>C18</v>
      </c>
      <c r="B1703" s="36">
        <f t="shared" si="99"/>
        <v>11</v>
      </c>
      <c r="C1703" s="740">
        <f>E1703</f>
        <v>41243</v>
      </c>
      <c r="D1703" s="740" t="s">
        <v>447</v>
      </c>
      <c r="E1703" s="853">
        <v>41243</v>
      </c>
      <c r="F1703" s="741" t="str">
        <f>"Thanh toán tiền lương tháng "&amp;MONTH(E1703)&amp;"/"&amp;YEAR(E1703)</f>
        <v>Thanh toán tiền lương tháng 11/2012</v>
      </c>
      <c r="G1703" s="742"/>
      <c r="H1703" s="45" t="s">
        <v>684</v>
      </c>
      <c r="I1703" s="487"/>
      <c r="J1703" s="487"/>
      <c r="K1703" s="743">
        <f>K1701+K1702</f>
        <v>22775000</v>
      </c>
      <c r="L1703" s="744" t="s">
        <v>287</v>
      </c>
      <c r="M1703" s="744" t="s">
        <v>48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606"/>
      <c r="AB1703" s="606"/>
      <c r="AC1703" s="606"/>
      <c r="AD1703" s="606"/>
    </row>
    <row r="1704" spans="1:30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99"/>
        <v>12</v>
      </c>
      <c r="C1704" s="191">
        <v>41244</v>
      </c>
      <c r="D1704" s="191" t="s">
        <v>363</v>
      </c>
      <c r="E1704" s="191">
        <v>41244</v>
      </c>
      <c r="F1704" s="192" t="s">
        <v>365</v>
      </c>
      <c r="G1704" s="192" t="s">
        <v>361</v>
      </c>
      <c r="H1704" s="7" t="s">
        <v>632</v>
      </c>
      <c r="I1704" s="252"/>
      <c r="J1704" s="252"/>
      <c r="K1704" s="38">
        <v>25265680</v>
      </c>
      <c r="L1704" s="194" t="s">
        <v>24</v>
      </c>
      <c r="M1704" s="194" t="s">
        <v>284</v>
      </c>
      <c r="N1704" s="52" t="str">
        <f>IF(AND('331-CT'!$E$7=TH!H1704,OR(L1704="331",M1704="331")),"331",IF(AND(OR(L1704="131",M1704="131"),H1704='131-CT'!$E$7),"131",""))</f>
        <v>131</v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>x</v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198"/>
      <c r="AB1704" s="198"/>
      <c r="AC1704" s="198"/>
      <c r="AD1704" s="198"/>
    </row>
    <row r="1705" spans="1:30" ht="15.75" customHeight="1">
      <c r="A1705" s="204" t="str">
        <f>IF(B1705&lt;&gt;"",IF(AND(B1705&gt;=_TM1,B1705&lt;=_TM2,OR(TH!L1705="1111",TH!M1705="1111")),TH!D1705,""),"")</f>
        <v/>
      </c>
      <c r="B1705" s="36">
        <f t="shared" si="99"/>
        <v>12</v>
      </c>
      <c r="C1705" s="191">
        <f>E1705</f>
        <v>41244</v>
      </c>
      <c r="D1705" s="191" t="s">
        <v>1603</v>
      </c>
      <c r="E1705" s="191">
        <v>41244</v>
      </c>
      <c r="F1705" s="192" t="s">
        <v>1125</v>
      </c>
      <c r="G1705" s="490" t="s">
        <v>1089</v>
      </c>
      <c r="H1705" s="193" t="s">
        <v>886</v>
      </c>
      <c r="I1705" s="252">
        <v>1050</v>
      </c>
      <c r="J1705" s="252">
        <v>8740</v>
      </c>
      <c r="K1705" s="38">
        <f>ROUND(I1705*J1705,0)</f>
        <v>9177000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customHeight="1">
      <c r="A1706" s="204" t="str">
        <f>IF(B1706&lt;&gt;"",IF(AND(B1706&gt;=_TM1,B1706&lt;=_TM2,OR(TH!L1706="1111",TH!M1706="1111")),TH!D1706,""),"")</f>
        <v/>
      </c>
      <c r="B1706" s="36">
        <f t="shared" si="99"/>
        <v>12</v>
      </c>
      <c r="C1706" s="191">
        <f>E1706</f>
        <v>41244</v>
      </c>
      <c r="D1706" s="191" t="s">
        <v>1603</v>
      </c>
      <c r="E1706" s="191">
        <v>41244</v>
      </c>
      <c r="F1706" s="192" t="s">
        <v>555</v>
      </c>
      <c r="G1706" s="490" t="s">
        <v>1089</v>
      </c>
      <c r="H1706" s="193" t="s">
        <v>886</v>
      </c>
      <c r="I1706" s="252"/>
      <c r="J1706" s="252"/>
      <c r="K1706" s="38">
        <v>917700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customHeight="1">
      <c r="A1707" s="204" t="str">
        <f>IF(B1707&lt;&gt;"",IF(AND(B1707&gt;=_TM1,B1707&lt;=_TM2,OR(TH!L1707="1111",TH!M1707="1111")),TH!D1707,""),"")</f>
        <v>C19</v>
      </c>
      <c r="B1707" s="36">
        <f t="shared" si="99"/>
        <v>12</v>
      </c>
      <c r="C1707" s="191">
        <v>41246</v>
      </c>
      <c r="D1707" s="191" t="s">
        <v>448</v>
      </c>
      <c r="E1707" s="191">
        <v>41246</v>
      </c>
      <c r="F1707" s="192" t="s">
        <v>589</v>
      </c>
      <c r="G1707" s="192" t="s">
        <v>897</v>
      </c>
      <c r="H1707" s="210" t="s">
        <v>591</v>
      </c>
      <c r="I1707" s="254"/>
      <c r="J1707" s="254"/>
      <c r="K1707" s="38">
        <v>448464</v>
      </c>
      <c r="L1707" s="194" t="s">
        <v>84</v>
      </c>
      <c r="M1707" s="194" t="s">
        <v>48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s="211" customFormat="1" ht="15.75" customHeight="1">
      <c r="A1708" s="204" t="str">
        <f>IF(B1708&lt;&gt;"",IF(AND(B1708&gt;=_TM1,B1708&lt;=_TM2,OR(TH!L1708="1111",TH!M1708="1111")),TH!D1708,""),"")</f>
        <v>C19</v>
      </c>
      <c r="B1708" s="36">
        <f t="shared" si="99"/>
        <v>12</v>
      </c>
      <c r="C1708" s="191">
        <v>41246</v>
      </c>
      <c r="D1708" s="191" t="s">
        <v>448</v>
      </c>
      <c r="E1708" s="191">
        <v>41246</v>
      </c>
      <c r="F1708" s="192" t="s">
        <v>592</v>
      </c>
      <c r="G1708" s="192" t="s">
        <v>897</v>
      </c>
      <c r="H1708" s="193" t="s">
        <v>591</v>
      </c>
      <c r="I1708" s="252"/>
      <c r="J1708" s="252"/>
      <c r="K1708" s="38">
        <v>44847</v>
      </c>
      <c r="L1708" s="194" t="s">
        <v>9</v>
      </c>
      <c r="M1708" s="194" t="s">
        <v>48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198">
        <v>12</v>
      </c>
      <c r="AB1708" s="198"/>
      <c r="AC1708" s="198"/>
      <c r="AD1708" s="198"/>
    </row>
    <row r="1709" spans="1:30" ht="15.75" customHeight="1">
      <c r="A1709" s="204" t="str">
        <f>IF(B1709&lt;&gt;"",IF(AND(B1709&gt;=_TM1,B1709&lt;=_TM2,OR(TH!L1709="1111",TH!M1709="1111")),TH!D1709,""),"")</f>
        <v/>
      </c>
      <c r="B1709" s="36">
        <f t="shared" si="99"/>
        <v>12</v>
      </c>
      <c r="C1709" s="191">
        <v>41247</v>
      </c>
      <c r="D1709" s="191" t="s">
        <v>363</v>
      </c>
      <c r="E1709" s="191">
        <v>41247</v>
      </c>
      <c r="F1709" s="192" t="s">
        <v>365</v>
      </c>
      <c r="G1709" s="192" t="s">
        <v>361</v>
      </c>
      <c r="H1709" s="7" t="s">
        <v>886</v>
      </c>
      <c r="I1709" s="252"/>
      <c r="J1709" s="252"/>
      <c r="K1709" s="38">
        <v>10094700</v>
      </c>
      <c r="L1709" s="194" t="s">
        <v>24</v>
      </c>
      <c r="M1709" s="194" t="s">
        <v>284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>x</v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30" ht="15.75" customHeight="1">
      <c r="A1710" s="204" t="str">
        <f>IF(B1710&lt;&gt;"",IF(AND(B1710&gt;=_TM1,B1710&lt;=_TM2,OR(TH!L1710="1111",TH!M1710="1111")),TH!D1710,""),"")</f>
        <v>T15</v>
      </c>
      <c r="B1710" s="36">
        <f t="shared" si="99"/>
        <v>12</v>
      </c>
      <c r="C1710" s="191">
        <v>41247</v>
      </c>
      <c r="D1710" s="191" t="s">
        <v>1647</v>
      </c>
      <c r="E1710" s="191">
        <v>41247</v>
      </c>
      <c r="F1710" s="192" t="s">
        <v>559</v>
      </c>
      <c r="G1710" s="490" t="s">
        <v>361</v>
      </c>
      <c r="H1710" s="193" t="s">
        <v>684</v>
      </c>
      <c r="I1710" s="252"/>
      <c r="J1710" s="252"/>
      <c r="K1710" s="38">
        <v>25000000</v>
      </c>
      <c r="L1710" s="194" t="s">
        <v>48</v>
      </c>
      <c r="M1710" s="194" t="s">
        <v>24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>x</v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30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99"/>
        <v>12</v>
      </c>
      <c r="C1711" s="191">
        <v>41251</v>
      </c>
      <c r="D1711" s="191" t="s">
        <v>466</v>
      </c>
      <c r="E1711" s="191">
        <v>41251</v>
      </c>
      <c r="F1711" s="192" t="s">
        <v>898</v>
      </c>
      <c r="G1711" s="490" t="s">
        <v>899</v>
      </c>
      <c r="H1711" s="193" t="s">
        <v>427</v>
      </c>
      <c r="I1711" s="252">
        <v>754</v>
      </c>
      <c r="J1711" s="252">
        <v>13338</v>
      </c>
      <c r="K1711" s="38">
        <v>10056852</v>
      </c>
      <c r="L1711" s="194" t="s">
        <v>169</v>
      </c>
      <c r="M1711" s="616" t="s">
        <v>8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198"/>
      <c r="AB1711" s="606"/>
      <c r="AC1711" s="198"/>
      <c r="AD1711" s="198"/>
    </row>
    <row r="1712" spans="1:30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99"/>
        <v>12</v>
      </c>
      <c r="C1712" s="191">
        <v>41251</v>
      </c>
      <c r="D1712" s="191" t="s">
        <v>466</v>
      </c>
      <c r="E1712" s="191">
        <v>41251</v>
      </c>
      <c r="F1712" s="192" t="s">
        <v>900</v>
      </c>
      <c r="G1712" s="192" t="s">
        <v>899</v>
      </c>
      <c r="H1712" s="193" t="s">
        <v>427</v>
      </c>
      <c r="I1712" s="252">
        <v>209</v>
      </c>
      <c r="J1712" s="252">
        <v>18314</v>
      </c>
      <c r="K1712" s="38">
        <v>3827626</v>
      </c>
      <c r="L1712" s="194" t="s">
        <v>169</v>
      </c>
      <c r="M1712" s="616" t="s">
        <v>8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198"/>
      <c r="AB1712" s="606"/>
      <c r="AC1712" s="198"/>
      <c r="AD1712" s="198"/>
    </row>
    <row r="1713" spans="1:30" ht="15.75" customHeight="1">
      <c r="A1713" s="204" t="str">
        <f>IF(B1713&lt;&gt;"",IF(AND(B1713&gt;=_TM1,B1713&lt;=_TM2,OR(TH!L1713="1111",TH!M1713="1111")),TH!D1713,""),"")</f>
        <v/>
      </c>
      <c r="B1713" s="36">
        <f t="shared" si="99"/>
        <v>12</v>
      </c>
      <c r="C1713" s="191">
        <v>41251</v>
      </c>
      <c r="D1713" s="191" t="s">
        <v>466</v>
      </c>
      <c r="E1713" s="191">
        <v>41251</v>
      </c>
      <c r="F1713" s="192" t="s">
        <v>901</v>
      </c>
      <c r="G1713" s="192" t="s">
        <v>899</v>
      </c>
      <c r="H1713" s="193" t="s">
        <v>427</v>
      </c>
      <c r="I1713" s="252">
        <v>150</v>
      </c>
      <c r="J1713" s="252">
        <v>28350</v>
      </c>
      <c r="K1713" s="38">
        <v>4252500</v>
      </c>
      <c r="L1713" s="194" t="s">
        <v>169</v>
      </c>
      <c r="M1713" s="616" t="s">
        <v>8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B1713" s="606"/>
    </row>
    <row r="1714" spans="1:30" ht="15.75" customHeight="1">
      <c r="A1714" s="204" t="str">
        <f>IF(B1714&lt;&gt;"",IF(AND(B1714&gt;=_TM1,B1714&lt;=_TM2,OR(TH!L1714="1111",TH!M1714="1111")),TH!D1714,""),"")</f>
        <v/>
      </c>
      <c r="B1714" s="36">
        <f t="shared" si="99"/>
        <v>12</v>
      </c>
      <c r="C1714" s="191">
        <v>41251</v>
      </c>
      <c r="D1714" s="191" t="s">
        <v>466</v>
      </c>
      <c r="E1714" s="191">
        <v>41251</v>
      </c>
      <c r="F1714" s="192" t="s">
        <v>428</v>
      </c>
      <c r="G1714" s="192" t="s">
        <v>899</v>
      </c>
      <c r="H1714" s="193" t="s">
        <v>427</v>
      </c>
      <c r="I1714" s="252"/>
      <c r="J1714" s="252"/>
      <c r="K1714" s="38">
        <v>1813698</v>
      </c>
      <c r="L1714" s="194" t="s">
        <v>9</v>
      </c>
      <c r="M1714" s="616" t="s">
        <v>8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198">
        <v>12</v>
      </c>
    </row>
    <row r="1715" spans="1:30" s="211" customFormat="1" ht="15.75" customHeight="1">
      <c r="A1715" s="204" t="str">
        <f>IF(B1715&lt;&gt;"",IF(AND(B1715&gt;=_TM1,B1715&lt;=_TM2,OR(TH!L1715="1111",TH!M1715="1111")),TH!D1715,""),"")</f>
        <v>C20</v>
      </c>
      <c r="B1715" s="36">
        <f t="shared" si="99"/>
        <v>12</v>
      </c>
      <c r="C1715" s="191">
        <v>41251</v>
      </c>
      <c r="D1715" s="191" t="s">
        <v>449</v>
      </c>
      <c r="E1715" s="191">
        <v>41251</v>
      </c>
      <c r="F1715" s="192" t="s">
        <v>400</v>
      </c>
      <c r="G1715" s="192" t="s">
        <v>899</v>
      </c>
      <c r="H1715" s="193" t="s">
        <v>427</v>
      </c>
      <c r="I1715" s="252"/>
      <c r="J1715" s="252"/>
      <c r="K1715" s="38">
        <v>19950676</v>
      </c>
      <c r="L1715" s="616" t="s">
        <v>8</v>
      </c>
      <c r="M1715" s="616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customHeight="1">
      <c r="A1716" s="204" t="str">
        <f>IF(B1716&lt;&gt;"",IF(AND(B1716&gt;=_TM1,B1716&lt;=_TM2,OR(TH!L1716="1111",TH!M1716="1111")),TH!D1716,""),"")</f>
        <v/>
      </c>
      <c r="B1716" s="36">
        <f t="shared" si="99"/>
        <v>12</v>
      </c>
      <c r="C1716" s="191">
        <v>41253</v>
      </c>
      <c r="D1716" s="191" t="s">
        <v>467</v>
      </c>
      <c r="E1716" s="191">
        <v>41253</v>
      </c>
      <c r="F1716" s="192" t="s">
        <v>901</v>
      </c>
      <c r="G1716" s="490" t="s">
        <v>902</v>
      </c>
      <c r="H1716" s="210" t="s">
        <v>427</v>
      </c>
      <c r="I1716" s="254">
        <v>350</v>
      </c>
      <c r="J1716" s="254">
        <v>28350</v>
      </c>
      <c r="K1716" s="38">
        <v>9922500</v>
      </c>
      <c r="L1716" s="194" t="s">
        <v>169</v>
      </c>
      <c r="M1716" s="616" t="s">
        <v>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B1716" s="606"/>
    </row>
    <row r="1717" spans="1:30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99"/>
        <v>12</v>
      </c>
      <c r="C1717" s="191">
        <v>41253</v>
      </c>
      <c r="D1717" s="191" t="s">
        <v>467</v>
      </c>
      <c r="E1717" s="191">
        <v>41253</v>
      </c>
      <c r="F1717" s="192" t="s">
        <v>903</v>
      </c>
      <c r="G1717" s="490" t="s">
        <v>902</v>
      </c>
      <c r="H1717" s="210" t="s">
        <v>427</v>
      </c>
      <c r="I1717" s="254">
        <v>310</v>
      </c>
      <c r="J1717" s="254">
        <v>20815</v>
      </c>
      <c r="K1717" s="38">
        <v>6452650</v>
      </c>
      <c r="L1717" s="194" t="s">
        <v>169</v>
      </c>
      <c r="M1717" s="616" t="s">
        <v>8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606"/>
      <c r="AC1717" s="198"/>
      <c r="AD1717" s="198"/>
    </row>
    <row r="1718" spans="1:30" ht="15.75" customHeight="1">
      <c r="A1718" s="204" t="str">
        <f>IF(B1718&lt;&gt;"",IF(AND(B1718&gt;=_TM1,B1718&lt;=_TM2,OR(TH!L1718="1111",TH!M1718="1111")),TH!D1718,""),"")</f>
        <v/>
      </c>
      <c r="B1718" s="36">
        <f t="shared" si="99"/>
        <v>12</v>
      </c>
      <c r="C1718" s="191">
        <v>41253</v>
      </c>
      <c r="D1718" s="191" t="s">
        <v>467</v>
      </c>
      <c r="E1718" s="191">
        <v>41253</v>
      </c>
      <c r="F1718" s="192" t="s">
        <v>904</v>
      </c>
      <c r="G1718" s="192" t="s">
        <v>902</v>
      </c>
      <c r="H1718" s="193" t="s">
        <v>427</v>
      </c>
      <c r="I1718" s="252">
        <v>150</v>
      </c>
      <c r="J1718" s="252">
        <v>11780</v>
      </c>
      <c r="K1718" s="38">
        <v>1767000</v>
      </c>
      <c r="L1718" s="194" t="s">
        <v>169</v>
      </c>
      <c r="M1718" s="616" t="s">
        <v>8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B1718" s="606"/>
    </row>
    <row r="1719" spans="1:30" ht="15.75" customHeight="1">
      <c r="A1719" s="204" t="str">
        <f>IF(B1719&lt;&gt;"",IF(AND(B1719&gt;=_TM1,B1719&lt;=_TM2,OR(TH!L1719="1111",TH!M1719="1111")),TH!D1719,""),"")</f>
        <v/>
      </c>
      <c r="B1719" s="36">
        <f t="shared" si="99"/>
        <v>12</v>
      </c>
      <c r="C1719" s="191">
        <v>41253</v>
      </c>
      <c r="D1719" s="191" t="s">
        <v>467</v>
      </c>
      <c r="E1719" s="191">
        <v>41253</v>
      </c>
      <c r="F1719" s="192" t="s">
        <v>428</v>
      </c>
      <c r="G1719" s="192" t="s">
        <v>902</v>
      </c>
      <c r="H1719" s="193" t="s">
        <v>427</v>
      </c>
      <c r="I1719" s="252"/>
      <c r="J1719" s="252"/>
      <c r="K1719" s="38">
        <v>1814215</v>
      </c>
      <c r="L1719" s="194" t="s">
        <v>9</v>
      </c>
      <c r="M1719" s="616" t="s">
        <v>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>
        <v>12</v>
      </c>
    </row>
    <row r="1720" spans="1:30" s="211" customFormat="1" ht="15.75" customHeight="1">
      <c r="A1720" s="204" t="str">
        <f>IF(B1720&lt;&gt;"",IF(AND(B1720&gt;=_TM1,B1720&lt;=_TM2,OR(TH!L1720="1111",TH!M1720="1111")),TH!D1720,""),"")</f>
        <v>C21</v>
      </c>
      <c r="B1720" s="36">
        <f t="shared" si="99"/>
        <v>12</v>
      </c>
      <c r="C1720" s="191">
        <v>41253</v>
      </c>
      <c r="D1720" s="191" t="s">
        <v>450</v>
      </c>
      <c r="E1720" s="191">
        <v>41253</v>
      </c>
      <c r="F1720" s="192" t="s">
        <v>400</v>
      </c>
      <c r="G1720" s="192" t="s">
        <v>902</v>
      </c>
      <c r="H1720" s="193" t="s">
        <v>427</v>
      </c>
      <c r="I1720" s="252"/>
      <c r="J1720" s="252"/>
      <c r="K1720" s="38">
        <v>19956365</v>
      </c>
      <c r="L1720" s="616" t="s">
        <v>8</v>
      </c>
      <c r="M1720" s="616" t="s">
        <v>48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198"/>
      <c r="AB1720" s="198"/>
      <c r="AC1720" s="198"/>
      <c r="AD1720" s="198"/>
    </row>
    <row r="1721" spans="1:30" ht="15.75" customHeight="1">
      <c r="A1721" s="204" t="str">
        <f>IF(B1721&lt;&gt;"",IF(AND(B1721&gt;=_TM1,B1721&lt;=_TM2,OR(TH!L1721="1111",TH!M1721="1111")),TH!D1721,""),"")</f>
        <v/>
      </c>
      <c r="B1721" s="36">
        <f t="shared" si="99"/>
        <v>12</v>
      </c>
      <c r="C1721" s="191">
        <f>E1721</f>
        <v>41253</v>
      </c>
      <c r="D1721" s="191" t="s">
        <v>1604</v>
      </c>
      <c r="E1721" s="191">
        <v>41253</v>
      </c>
      <c r="F1721" s="192" t="s">
        <v>1124</v>
      </c>
      <c r="G1721" s="490" t="s">
        <v>1090</v>
      </c>
      <c r="H1721" s="193" t="s">
        <v>1091</v>
      </c>
      <c r="I1721" s="252">
        <v>500</v>
      </c>
      <c r="J1721" s="252">
        <v>9565</v>
      </c>
      <c r="K1721" s="38">
        <f>ROUND(I1721*J1721,0)</f>
        <v>4782500</v>
      </c>
      <c r="L1721" s="194" t="s">
        <v>284</v>
      </c>
      <c r="M1721" s="194" t="s">
        <v>185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211"/>
      <c r="AB1721" s="211"/>
      <c r="AC1721" s="211"/>
      <c r="AD1721" s="211"/>
    </row>
    <row r="1722" spans="1:30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99"/>
        <v>12</v>
      </c>
      <c r="C1722" s="191">
        <f>E1722</f>
        <v>41253</v>
      </c>
      <c r="D1722" s="191" t="s">
        <v>1604</v>
      </c>
      <c r="E1722" s="191">
        <v>41253</v>
      </c>
      <c r="F1722" s="192" t="s">
        <v>1123</v>
      </c>
      <c r="G1722" s="490" t="s">
        <v>1090</v>
      </c>
      <c r="H1722" s="193" t="s">
        <v>1091</v>
      </c>
      <c r="I1722" s="252">
        <v>483</v>
      </c>
      <c r="J1722" s="252">
        <v>9147</v>
      </c>
      <c r="K1722" s="38">
        <f>ROUND(I1722*J1722,0)</f>
        <v>4418001</v>
      </c>
      <c r="L1722" s="194" t="s">
        <v>284</v>
      </c>
      <c r="M1722" s="194" t="s">
        <v>185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30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si="99"/>
        <v>12</v>
      </c>
      <c r="C1723" s="191">
        <f>E1723</f>
        <v>41253</v>
      </c>
      <c r="D1723" s="191" t="s">
        <v>1604</v>
      </c>
      <c r="E1723" s="191">
        <v>41253</v>
      </c>
      <c r="F1723" s="192" t="s">
        <v>1122</v>
      </c>
      <c r="G1723" s="490" t="s">
        <v>1090</v>
      </c>
      <c r="H1723" s="193" t="s">
        <v>1091</v>
      </c>
      <c r="I1723" s="252">
        <v>504</v>
      </c>
      <c r="J1723" s="252">
        <v>8264</v>
      </c>
      <c r="K1723" s="38">
        <f>ROUND(I1723*J1723,0)</f>
        <v>4165056</v>
      </c>
      <c r="L1723" s="194" t="s">
        <v>284</v>
      </c>
      <c r="M1723" s="194" t="s">
        <v>185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99"/>
        <v>12</v>
      </c>
      <c r="C1724" s="191">
        <f>E1724</f>
        <v>41253</v>
      </c>
      <c r="D1724" s="191" t="s">
        <v>1604</v>
      </c>
      <c r="E1724" s="191">
        <v>41253</v>
      </c>
      <c r="F1724" s="192" t="s">
        <v>555</v>
      </c>
      <c r="G1724" s="490" t="s">
        <v>1090</v>
      </c>
      <c r="H1724" s="193" t="s">
        <v>1091</v>
      </c>
      <c r="I1724" s="252"/>
      <c r="J1724" s="252"/>
      <c r="K1724" s="38">
        <v>1336556</v>
      </c>
      <c r="L1724" s="194" t="s">
        <v>284</v>
      </c>
      <c r="M1724" s="194" t="s">
        <v>495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198"/>
      <c r="AB1724" s="198"/>
      <c r="AC1724" s="198"/>
      <c r="AD1724" s="198"/>
    </row>
    <row r="1725" spans="1:30" s="211" customFormat="1" ht="15.75" customHeight="1">
      <c r="A1725" s="204" t="str">
        <f>IF(B1725&lt;&gt;"",IF(AND(B1725&gt;=_TM1,B1725&lt;=_TM2,OR(TH!L1725="1111",TH!M1725="1111")),TH!D1725,""),"")</f>
        <v>T16</v>
      </c>
      <c r="B1725" s="36">
        <f t="shared" si="99"/>
        <v>12</v>
      </c>
      <c r="C1725" s="191">
        <f>E1725</f>
        <v>41253</v>
      </c>
      <c r="D1725" s="191" t="s">
        <v>1648</v>
      </c>
      <c r="E1725" s="191">
        <v>41253</v>
      </c>
      <c r="F1725" s="192" t="s">
        <v>365</v>
      </c>
      <c r="G1725" s="490" t="s">
        <v>1090</v>
      </c>
      <c r="H1725" s="193" t="s">
        <v>1091</v>
      </c>
      <c r="I1725" s="252"/>
      <c r="J1725" s="252"/>
      <c r="K1725" s="38">
        <v>14702113</v>
      </c>
      <c r="L1725" s="194" t="s">
        <v>48</v>
      </c>
      <c r="M1725" s="194" t="s">
        <v>284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/>
      <c r="AB1725" s="198"/>
      <c r="AC1725" s="198"/>
      <c r="AD1725" s="198"/>
    </row>
    <row r="1726" spans="1:30" ht="15.75" customHeight="1">
      <c r="A1726" s="204" t="str">
        <f>IF(B1726&lt;&gt;"",IF(AND(B1726&gt;=_TM1,B1726&lt;=_TM2,OR(TH!L1726="1111",TH!M1726="1111")),TH!D1726,""),"")</f>
        <v/>
      </c>
      <c r="B1726" s="36">
        <f t="shared" si="99"/>
        <v>12</v>
      </c>
      <c r="C1726" s="191">
        <v>41254</v>
      </c>
      <c r="D1726" s="191" t="s">
        <v>468</v>
      </c>
      <c r="E1726" s="191">
        <v>41254</v>
      </c>
      <c r="F1726" s="192" t="s">
        <v>903</v>
      </c>
      <c r="G1726" s="192" t="s">
        <v>905</v>
      </c>
      <c r="H1726" s="193" t="s">
        <v>427</v>
      </c>
      <c r="I1726" s="252">
        <v>450</v>
      </c>
      <c r="J1726" s="252">
        <v>20815</v>
      </c>
      <c r="K1726" s="38">
        <v>9366750</v>
      </c>
      <c r="L1726" s="194" t="s">
        <v>169</v>
      </c>
      <c r="M1726" s="616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B1726" s="606"/>
    </row>
    <row r="1727" spans="1:30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99"/>
        <v>12</v>
      </c>
      <c r="C1727" s="191">
        <v>41254</v>
      </c>
      <c r="D1727" s="191" t="s">
        <v>468</v>
      </c>
      <c r="E1727" s="191">
        <v>41254</v>
      </c>
      <c r="F1727" s="192" t="s">
        <v>906</v>
      </c>
      <c r="G1727" s="192" t="s">
        <v>905</v>
      </c>
      <c r="H1727" s="193" t="s">
        <v>427</v>
      </c>
      <c r="I1727" s="252">
        <v>202</v>
      </c>
      <c r="J1727" s="252">
        <v>20992</v>
      </c>
      <c r="K1727" s="38">
        <v>4240384</v>
      </c>
      <c r="L1727" s="194" t="s">
        <v>169</v>
      </c>
      <c r="M1727" s="616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6"/>
      <c r="AC1727" s="198"/>
      <c r="AD1727" s="198"/>
    </row>
    <row r="1728" spans="1:30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99"/>
        <v>12</v>
      </c>
      <c r="C1728" s="191">
        <v>41254</v>
      </c>
      <c r="D1728" s="191" t="s">
        <v>468</v>
      </c>
      <c r="E1728" s="191">
        <v>41254</v>
      </c>
      <c r="F1728" s="192" t="s">
        <v>907</v>
      </c>
      <c r="G1728" s="192" t="s">
        <v>905</v>
      </c>
      <c r="H1728" s="193" t="s">
        <v>427</v>
      </c>
      <c r="I1728" s="252">
        <v>218</v>
      </c>
      <c r="J1728" s="252">
        <v>20910</v>
      </c>
      <c r="K1728" s="38">
        <v>4558380</v>
      </c>
      <c r="L1728" s="194" t="s">
        <v>169</v>
      </c>
      <c r="M1728" s="616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/>
      <c r="AB1728" s="606"/>
      <c r="AC1728" s="198"/>
      <c r="AD1728" s="198"/>
    </row>
    <row r="1729" spans="1:30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99"/>
        <v>12</v>
      </c>
      <c r="C1729" s="191">
        <v>41254</v>
      </c>
      <c r="D1729" s="191" t="s">
        <v>468</v>
      </c>
      <c r="E1729" s="191">
        <v>41254</v>
      </c>
      <c r="F1729" s="192" t="s">
        <v>428</v>
      </c>
      <c r="G1729" s="192" t="s">
        <v>905</v>
      </c>
      <c r="H1729" s="193" t="s">
        <v>427</v>
      </c>
      <c r="I1729" s="252"/>
      <c r="J1729" s="252"/>
      <c r="K1729" s="38">
        <v>1816551</v>
      </c>
      <c r="L1729" s="194" t="s">
        <v>9</v>
      </c>
      <c r="M1729" s="616" t="s">
        <v>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198">
        <v>12</v>
      </c>
      <c r="AB1729" s="198"/>
      <c r="AC1729" s="198"/>
      <c r="AD1729" s="198"/>
    </row>
    <row r="1730" spans="1:30" s="211" customFormat="1" ht="15.75" customHeight="1">
      <c r="A1730" s="204" t="str">
        <f>IF(B1730&lt;&gt;"",IF(AND(B1730&gt;=_TM1,B1730&lt;=_TM2,OR(TH!L1730="1111",TH!M1730="1111")),TH!D1730,""),"")</f>
        <v>C22</v>
      </c>
      <c r="B1730" s="36">
        <f t="shared" si="99"/>
        <v>12</v>
      </c>
      <c r="C1730" s="191">
        <v>41254</v>
      </c>
      <c r="D1730" s="191" t="s">
        <v>451</v>
      </c>
      <c r="E1730" s="191">
        <v>41254</v>
      </c>
      <c r="F1730" s="192" t="s">
        <v>400</v>
      </c>
      <c r="G1730" s="192" t="s">
        <v>905</v>
      </c>
      <c r="H1730" s="193" t="s">
        <v>427</v>
      </c>
      <c r="I1730" s="252"/>
      <c r="J1730" s="252"/>
      <c r="K1730" s="38">
        <v>19982065</v>
      </c>
      <c r="L1730" s="616" t="s">
        <v>8</v>
      </c>
      <c r="M1730" s="616" t="s">
        <v>48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198"/>
      <c r="AB1730" s="198"/>
      <c r="AC1730" s="198"/>
      <c r="AD1730" s="198"/>
    </row>
    <row r="1731" spans="1:30" ht="15.75" customHeight="1">
      <c r="A1731" s="204" t="str">
        <f>IF(B1731&lt;&gt;"",IF(AND(B1731&gt;=_TM1,B1731&lt;=_TM2,OR(TH!L1731="1111",TH!M1731="1111")),TH!D1731,""),"")</f>
        <v>C23</v>
      </c>
      <c r="B1731" s="36">
        <f t="shared" si="99"/>
        <v>12</v>
      </c>
      <c r="C1731" s="191">
        <v>41256</v>
      </c>
      <c r="D1731" s="191" t="s">
        <v>452</v>
      </c>
      <c r="E1731" s="191">
        <v>41256</v>
      </c>
      <c r="F1731" s="192" t="s">
        <v>396</v>
      </c>
      <c r="G1731" s="192" t="s">
        <v>361</v>
      </c>
      <c r="H1731" s="193" t="s">
        <v>684</v>
      </c>
      <c r="I1731" s="252"/>
      <c r="J1731" s="252"/>
      <c r="K1731" s="38">
        <v>35000000</v>
      </c>
      <c r="L1731" s="194" t="s">
        <v>24</v>
      </c>
      <c r="M1731" s="194" t="s">
        <v>48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>x</v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30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99"/>
        <v>12</v>
      </c>
      <c r="C1732" s="191">
        <v>41256</v>
      </c>
      <c r="D1732" s="191" t="s">
        <v>364</v>
      </c>
      <c r="E1732" s="191">
        <v>41256</v>
      </c>
      <c r="F1732" s="192" t="s">
        <v>400</v>
      </c>
      <c r="G1732" s="192" t="s">
        <v>361</v>
      </c>
      <c r="H1732" s="7" t="s">
        <v>436</v>
      </c>
      <c r="I1732" s="252"/>
      <c r="J1732" s="252"/>
      <c r="K1732" s="38">
        <v>45000000</v>
      </c>
      <c r="L1732" s="616" t="s">
        <v>8</v>
      </c>
      <c r="M1732" s="194" t="s">
        <v>24</v>
      </c>
      <c r="N1732" s="52" t="str">
        <f>IF(AND('331-CT'!$E$7=TH!H1732,OR(L1732="331",M1732="331")),"331",IF(AND(OR(L1732="131",M1732="131"),H1732='131-CT'!$E$7),"131",""))</f>
        <v>331</v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>x</v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99"/>
        <v>12</v>
      </c>
      <c r="C1733" s="191">
        <v>41256</v>
      </c>
      <c r="D1733" s="191" t="s">
        <v>364</v>
      </c>
      <c r="E1733" s="191">
        <v>41256</v>
      </c>
      <c r="F1733" s="192" t="s">
        <v>366</v>
      </c>
      <c r="G1733" s="192" t="s">
        <v>361</v>
      </c>
      <c r="H1733" s="193"/>
      <c r="I1733" s="252"/>
      <c r="J1733" s="252"/>
      <c r="K1733" s="38">
        <v>22500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99"/>
        <v>12</v>
      </c>
      <c r="C1734" s="191">
        <v>41256</v>
      </c>
      <c r="D1734" s="191" t="s">
        <v>364</v>
      </c>
      <c r="E1734" s="191">
        <v>41256</v>
      </c>
      <c r="F1734" s="192" t="s">
        <v>730</v>
      </c>
      <c r="G1734" s="192" t="s">
        <v>361</v>
      </c>
      <c r="H1734" s="193"/>
      <c r="I1734" s="252"/>
      <c r="J1734" s="252"/>
      <c r="K1734" s="38">
        <v>10321</v>
      </c>
      <c r="L1734" s="194" t="s">
        <v>84</v>
      </c>
      <c r="M1734" s="194" t="s">
        <v>24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>x</v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30" ht="15.75" customHeight="1">
      <c r="A1735" s="204" t="str">
        <f>IF(B1735&lt;&gt;"",IF(AND(B1735&gt;=_TM1,B1735&lt;=_TM2,OR(TH!L1735="1111",TH!M1735="1111")),TH!D1735,""),"")</f>
        <v>C24</v>
      </c>
      <c r="B1735" s="36">
        <f t="shared" si="99"/>
        <v>12</v>
      </c>
      <c r="C1735" s="191">
        <v>41258</v>
      </c>
      <c r="D1735" s="191" t="s">
        <v>453</v>
      </c>
      <c r="E1735" s="191">
        <v>41258</v>
      </c>
      <c r="F1735" s="192" t="s">
        <v>571</v>
      </c>
      <c r="G1735" s="192" t="s">
        <v>908</v>
      </c>
      <c r="H1735" s="193" t="s">
        <v>573</v>
      </c>
      <c r="I1735" s="252"/>
      <c r="J1735" s="252"/>
      <c r="K1735" s="38">
        <v>1866196</v>
      </c>
      <c r="L1735" s="194" t="s">
        <v>84</v>
      </c>
      <c r="M1735" s="194" t="s">
        <v>48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30" s="211" customFormat="1" ht="15.75" customHeight="1">
      <c r="A1736" s="204" t="str">
        <f>IF(B1736&lt;&gt;"",IF(AND(B1736&gt;=_TM1,B1736&lt;=_TM2,OR(TH!L1736="1111",TH!M1736="1111")),TH!D1736,""),"")</f>
        <v>C24</v>
      </c>
      <c r="B1736" s="36">
        <f t="shared" si="99"/>
        <v>12</v>
      </c>
      <c r="C1736" s="191">
        <v>41258</v>
      </c>
      <c r="D1736" s="191" t="s">
        <v>453</v>
      </c>
      <c r="E1736" s="191">
        <v>41258</v>
      </c>
      <c r="F1736" s="192" t="s">
        <v>574</v>
      </c>
      <c r="G1736" s="192" t="s">
        <v>908</v>
      </c>
      <c r="H1736" s="193" t="s">
        <v>573</v>
      </c>
      <c r="I1736" s="252"/>
      <c r="J1736" s="252"/>
      <c r="K1736" s="38">
        <v>186619</v>
      </c>
      <c r="L1736" s="194" t="s">
        <v>9</v>
      </c>
      <c r="M1736" s="194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198">
        <v>12</v>
      </c>
      <c r="AB1736" s="198"/>
      <c r="AC1736" s="198"/>
      <c r="AD1736" s="198"/>
    </row>
    <row r="1737" spans="1:30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99"/>
        <v>12</v>
      </c>
      <c r="C1737" s="191">
        <f t="shared" ref="C1737:C1758" si="101">E1737</f>
        <v>41262</v>
      </c>
      <c r="D1737" s="191" t="s">
        <v>1605</v>
      </c>
      <c r="E1737" s="191">
        <v>41262</v>
      </c>
      <c r="F1737" s="189" t="s">
        <v>1121</v>
      </c>
      <c r="G1737" s="490" t="s">
        <v>1092</v>
      </c>
      <c r="H1737" s="193" t="s">
        <v>958</v>
      </c>
      <c r="I1737" s="252">
        <v>530</v>
      </c>
      <c r="J1737" s="252">
        <v>8000</v>
      </c>
      <c r="K1737" s="38">
        <f>ROUND(I1737*J1737,0)</f>
        <v>4240000</v>
      </c>
      <c r="L1737" s="194" t="s">
        <v>284</v>
      </c>
      <c r="M1737" s="194" t="s">
        <v>185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30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99"/>
        <v>12</v>
      </c>
      <c r="C1738" s="191">
        <f t="shared" si="101"/>
        <v>41262</v>
      </c>
      <c r="D1738" s="191" t="s">
        <v>1605</v>
      </c>
      <c r="E1738" s="191">
        <v>41262</v>
      </c>
      <c r="F1738" s="192" t="s">
        <v>555</v>
      </c>
      <c r="G1738" s="490" t="s">
        <v>1092</v>
      </c>
      <c r="H1738" s="193" t="s">
        <v>958</v>
      </c>
      <c r="I1738" s="252"/>
      <c r="J1738" s="252"/>
      <c r="K1738" s="38">
        <v>424000</v>
      </c>
      <c r="L1738" s="194" t="s">
        <v>284</v>
      </c>
      <c r="M1738" s="194" t="s">
        <v>495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198"/>
      <c r="AC1738" s="198"/>
      <c r="AD1738" s="198"/>
    </row>
    <row r="1739" spans="1:30" s="211" customFormat="1" ht="15.75" customHeight="1">
      <c r="A1739" s="204" t="str">
        <f>IF(B1739&lt;&gt;"",IF(AND(B1739&gt;=_TM1,B1739&lt;=_TM2,OR(TH!L1739="1111",TH!M1739="1111")),TH!D1739,""),"")</f>
        <v>T17</v>
      </c>
      <c r="B1739" s="36">
        <f t="shared" si="99"/>
        <v>12</v>
      </c>
      <c r="C1739" s="191">
        <f t="shared" si="101"/>
        <v>41262</v>
      </c>
      <c r="D1739" s="191" t="s">
        <v>1649</v>
      </c>
      <c r="E1739" s="191">
        <v>41262</v>
      </c>
      <c r="F1739" s="192" t="s">
        <v>365</v>
      </c>
      <c r="G1739" s="490" t="s">
        <v>1092</v>
      </c>
      <c r="H1739" s="193" t="s">
        <v>958</v>
      </c>
      <c r="I1739" s="252"/>
      <c r="J1739" s="252"/>
      <c r="K1739" s="38">
        <v>4664000</v>
      </c>
      <c r="L1739" s="194" t="s">
        <v>48</v>
      </c>
      <c r="M1739" s="194" t="s">
        <v>284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/>
      <c r="AB1739" s="198"/>
      <c r="AC1739" s="198"/>
      <c r="AD1739" s="198"/>
    </row>
    <row r="1740" spans="1:30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99"/>
        <v>12</v>
      </c>
      <c r="C1740" s="191">
        <f t="shared" si="101"/>
        <v>41262</v>
      </c>
      <c r="D1740" s="191" t="s">
        <v>1606</v>
      </c>
      <c r="E1740" s="191">
        <v>41262</v>
      </c>
      <c r="F1740" s="192" t="s">
        <v>1093</v>
      </c>
      <c r="G1740" s="490" t="s">
        <v>1094</v>
      </c>
      <c r="H1740" s="193" t="s">
        <v>948</v>
      </c>
      <c r="I1740" s="252">
        <v>664</v>
      </c>
      <c r="J1740" s="252">
        <v>6990</v>
      </c>
      <c r="K1740" s="38">
        <f>ROUND(I1740*J1740,0)</f>
        <v>4641360</v>
      </c>
      <c r="L1740" s="194" t="s">
        <v>284</v>
      </c>
      <c r="M1740" s="194" t="s">
        <v>185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99"/>
        <v>12</v>
      </c>
      <c r="C1741" s="191">
        <f t="shared" si="101"/>
        <v>41262</v>
      </c>
      <c r="D1741" s="191" t="s">
        <v>1606</v>
      </c>
      <c r="E1741" s="191">
        <v>41262</v>
      </c>
      <c r="F1741" s="192" t="s">
        <v>1095</v>
      </c>
      <c r="G1741" s="490" t="s">
        <v>1094</v>
      </c>
      <c r="H1741" s="193" t="s">
        <v>948</v>
      </c>
      <c r="I1741" s="252">
        <v>56</v>
      </c>
      <c r="J1741" s="252">
        <v>7380</v>
      </c>
      <c r="K1741" s="38">
        <f>ROUND(I1741*J1741,0)</f>
        <v>413280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36">
        <f t="shared" si="99"/>
        <v>12</v>
      </c>
      <c r="C1742" s="191">
        <f t="shared" si="101"/>
        <v>41262</v>
      </c>
      <c r="D1742" s="191" t="s">
        <v>1606</v>
      </c>
      <c r="E1742" s="191">
        <v>41262</v>
      </c>
      <c r="F1742" s="192" t="s">
        <v>1178</v>
      </c>
      <c r="G1742" s="490" t="s">
        <v>1094</v>
      </c>
      <c r="H1742" s="193" t="s">
        <v>948</v>
      </c>
      <c r="I1742" s="252">
        <v>93</v>
      </c>
      <c r="J1742" s="252">
        <v>8050</v>
      </c>
      <c r="K1742" s="38">
        <f>ROUND(I1742*J1742,0)</f>
        <v>748650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211"/>
      <c r="AB1742" s="211"/>
      <c r="AC1742" s="211"/>
      <c r="AD1742" s="21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99"/>
        <v>12</v>
      </c>
      <c r="C1743" s="191">
        <f t="shared" si="101"/>
        <v>41262</v>
      </c>
      <c r="D1743" s="191" t="s">
        <v>1606</v>
      </c>
      <c r="E1743" s="191">
        <v>41262</v>
      </c>
      <c r="F1743" s="192" t="s">
        <v>1120</v>
      </c>
      <c r="G1743" s="490" t="s">
        <v>1094</v>
      </c>
      <c r="H1743" s="193" t="s">
        <v>948</v>
      </c>
      <c r="I1743" s="252">
        <v>126</v>
      </c>
      <c r="J1743" s="252">
        <v>9512</v>
      </c>
      <c r="K1743" s="38">
        <f>ROUND(I1743*J1743,0)</f>
        <v>1198512</v>
      </c>
      <c r="L1743" s="194" t="s">
        <v>284</v>
      </c>
      <c r="M1743" s="194" t="s">
        <v>185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211"/>
      <c r="AB1743" s="211"/>
      <c r="AC1743" s="211"/>
      <c r="AD1743" s="211"/>
    </row>
    <row r="1744" spans="1:30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99"/>
        <v>12</v>
      </c>
      <c r="C1744" s="191">
        <f t="shared" si="101"/>
        <v>41262</v>
      </c>
      <c r="D1744" s="191" t="s">
        <v>1606</v>
      </c>
      <c r="E1744" s="191">
        <v>41262</v>
      </c>
      <c r="F1744" s="192" t="s">
        <v>555</v>
      </c>
      <c r="G1744" s="490" t="s">
        <v>1094</v>
      </c>
      <c r="H1744" s="193" t="s">
        <v>948</v>
      </c>
      <c r="I1744" s="252"/>
      <c r="J1744" s="252"/>
      <c r="K1744" s="38">
        <v>700180</v>
      </c>
      <c r="L1744" s="194" t="s">
        <v>284</v>
      </c>
      <c r="M1744" s="194" t="s">
        <v>495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customHeight="1">
      <c r="A1745" s="204" t="str">
        <f>IF(B1745&lt;&gt;"",IF(AND(B1745&gt;=_TM1,B1745&lt;=_TM2,OR(TH!L1745="1111",TH!M1745="1111")),TH!D1745,""),"")</f>
        <v>T18</v>
      </c>
      <c r="B1745" s="36">
        <f t="shared" si="99"/>
        <v>12</v>
      </c>
      <c r="C1745" s="191">
        <f t="shared" si="101"/>
        <v>41262</v>
      </c>
      <c r="D1745" s="191" t="s">
        <v>1650</v>
      </c>
      <c r="E1745" s="191">
        <v>41262</v>
      </c>
      <c r="F1745" s="192" t="s">
        <v>365</v>
      </c>
      <c r="G1745" s="490" t="s">
        <v>1094</v>
      </c>
      <c r="H1745" s="193" t="s">
        <v>948</v>
      </c>
      <c r="I1745" s="252"/>
      <c r="J1745" s="252"/>
      <c r="K1745" s="38">
        <v>7701982</v>
      </c>
      <c r="L1745" s="194" t="s">
        <v>48</v>
      </c>
      <c r="M1745" s="194" t="s">
        <v>284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198"/>
      <c r="AB1745" s="198"/>
      <c r="AC1745" s="198"/>
      <c r="AD1745" s="198"/>
    </row>
    <row r="1746" spans="1:30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99"/>
        <v>12</v>
      </c>
      <c r="C1746" s="191">
        <f t="shared" si="101"/>
        <v>41263</v>
      </c>
      <c r="D1746" s="191" t="s">
        <v>1607</v>
      </c>
      <c r="E1746" s="191">
        <v>41263</v>
      </c>
      <c r="F1746" s="192" t="s">
        <v>1119</v>
      </c>
      <c r="G1746" s="490" t="s">
        <v>1096</v>
      </c>
      <c r="H1746" s="193" t="s">
        <v>948</v>
      </c>
      <c r="I1746" s="252">
        <v>219</v>
      </c>
      <c r="J1746" s="252">
        <v>6330</v>
      </c>
      <c r="K1746" s="38">
        <f>ROUND(I1746*J1746,0)</f>
        <v>1386270</v>
      </c>
      <c r="L1746" s="194" t="s">
        <v>284</v>
      </c>
      <c r="M1746" s="194" t="s">
        <v>185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>
        <f t="shared" si="99"/>
        <v>12</v>
      </c>
      <c r="C1747" s="191">
        <f t="shared" si="101"/>
        <v>41263</v>
      </c>
      <c r="D1747" s="191" t="s">
        <v>1607</v>
      </c>
      <c r="E1747" s="191">
        <v>41263</v>
      </c>
      <c r="F1747" s="192" t="s">
        <v>1070</v>
      </c>
      <c r="G1747" s="490" t="s">
        <v>1096</v>
      </c>
      <c r="H1747" s="193" t="s">
        <v>948</v>
      </c>
      <c r="I1747" s="252">
        <v>100</v>
      </c>
      <c r="J1747" s="252">
        <v>6700</v>
      </c>
      <c r="K1747" s="38">
        <f>ROUND(I1747*J1747,0)</f>
        <v>670000</v>
      </c>
      <c r="L1747" s="194" t="s">
        <v>284</v>
      </c>
      <c r="M1747" s="194" t="s">
        <v>185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211"/>
      <c r="AB1747" s="211"/>
      <c r="AC1747" s="211"/>
      <c r="AD1747" s="211"/>
    </row>
    <row r="1748" spans="1:30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99"/>
        <v>12</v>
      </c>
      <c r="C1748" s="191">
        <f t="shared" si="101"/>
        <v>41263</v>
      </c>
      <c r="D1748" s="191" t="s">
        <v>1607</v>
      </c>
      <c r="E1748" s="191">
        <v>41263</v>
      </c>
      <c r="F1748" s="189" t="s">
        <v>1069</v>
      </c>
      <c r="G1748" s="490" t="s">
        <v>1096</v>
      </c>
      <c r="H1748" s="193" t="s">
        <v>948</v>
      </c>
      <c r="I1748" s="252">
        <v>104</v>
      </c>
      <c r="J1748" s="252">
        <v>6585</v>
      </c>
      <c r="K1748" s="38">
        <f>ROUND(I1748*J1748,0)</f>
        <v>684840</v>
      </c>
      <c r="L1748" s="194" t="s">
        <v>284</v>
      </c>
      <c r="M1748" s="194" t="s">
        <v>185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30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ref="B1749:B1797" si="102">IF(C1749&lt;&gt;"",MONTH(C1749),"")</f>
        <v>12</v>
      </c>
      <c r="C1749" s="191">
        <f t="shared" si="101"/>
        <v>41263</v>
      </c>
      <c r="D1749" s="191" t="s">
        <v>1607</v>
      </c>
      <c r="E1749" s="191">
        <v>41263</v>
      </c>
      <c r="F1749" s="192" t="s">
        <v>1178</v>
      </c>
      <c r="G1749" s="490" t="s">
        <v>1096</v>
      </c>
      <c r="H1749" s="193" t="s">
        <v>948</v>
      </c>
      <c r="I1749" s="252">
        <v>116</v>
      </c>
      <c r="J1749" s="252">
        <v>7250</v>
      </c>
      <c r="K1749" s="38">
        <f>ROUND(I1749*J1749,0)</f>
        <v>841000</v>
      </c>
      <c r="L1749" s="194" t="s">
        <v>284</v>
      </c>
      <c r="M1749" s="194" t="s">
        <v>185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36">
        <f t="shared" si="102"/>
        <v>12</v>
      </c>
      <c r="C1750" s="191">
        <f t="shared" si="101"/>
        <v>41263</v>
      </c>
      <c r="D1750" s="191" t="s">
        <v>1607</v>
      </c>
      <c r="E1750" s="191">
        <v>41263</v>
      </c>
      <c r="F1750" s="192" t="s">
        <v>1097</v>
      </c>
      <c r="G1750" s="490" t="s">
        <v>1096</v>
      </c>
      <c r="H1750" s="193" t="s">
        <v>948</v>
      </c>
      <c r="I1750" s="252">
        <v>200</v>
      </c>
      <c r="J1750" s="252">
        <v>9300</v>
      </c>
      <c r="K1750" s="38">
        <f>ROUND(I1750*J1750,0)</f>
        <v>1860000</v>
      </c>
      <c r="L1750" s="194" t="s">
        <v>284</v>
      </c>
      <c r="M1750" s="194" t="s">
        <v>185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211"/>
      <c r="AB1750" s="211"/>
      <c r="AC1750" s="211"/>
      <c r="AD1750" s="21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2"/>
        <v>12</v>
      </c>
      <c r="C1751" s="191">
        <f t="shared" si="101"/>
        <v>41263</v>
      </c>
      <c r="D1751" s="191" t="s">
        <v>1607</v>
      </c>
      <c r="E1751" s="191">
        <v>41263</v>
      </c>
      <c r="F1751" s="192" t="s">
        <v>555</v>
      </c>
      <c r="G1751" s="490" t="s">
        <v>1096</v>
      </c>
      <c r="H1751" s="193" t="s">
        <v>948</v>
      </c>
      <c r="I1751" s="252"/>
      <c r="J1751" s="252"/>
      <c r="K1751" s="38">
        <v>544211</v>
      </c>
      <c r="L1751" s="194" t="s">
        <v>284</v>
      </c>
      <c r="M1751" s="194" t="s">
        <v>495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30" s="211" customFormat="1" ht="15.75" customHeight="1">
      <c r="A1752" s="204" t="str">
        <f>IF(B1752&lt;&gt;"",IF(AND(B1752&gt;=_TM1,B1752&lt;=_TM2,OR(TH!L1752="1111",TH!M1752="1111")),TH!D1752,""),"")</f>
        <v>T19</v>
      </c>
      <c r="B1752" s="36">
        <f t="shared" si="102"/>
        <v>12</v>
      </c>
      <c r="C1752" s="191">
        <f t="shared" si="101"/>
        <v>41263</v>
      </c>
      <c r="D1752" s="191" t="s">
        <v>1651</v>
      </c>
      <c r="E1752" s="191">
        <v>41263</v>
      </c>
      <c r="F1752" s="192" t="s">
        <v>365</v>
      </c>
      <c r="G1752" s="490" t="s">
        <v>1096</v>
      </c>
      <c r="H1752" s="193" t="s">
        <v>948</v>
      </c>
      <c r="I1752" s="252"/>
      <c r="J1752" s="252"/>
      <c r="K1752" s="38">
        <v>5986321</v>
      </c>
      <c r="L1752" s="194" t="s">
        <v>48</v>
      </c>
      <c r="M1752" s="194" t="s">
        <v>284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198"/>
      <c r="AB1752" s="198"/>
      <c r="AC1752" s="198"/>
      <c r="AD1752" s="198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si="102"/>
        <v>12</v>
      </c>
      <c r="C1753" s="191">
        <f t="shared" si="101"/>
        <v>41265</v>
      </c>
      <c r="D1753" s="191" t="s">
        <v>1608</v>
      </c>
      <c r="E1753" s="191">
        <v>41265</v>
      </c>
      <c r="F1753" s="192" t="s">
        <v>1098</v>
      </c>
      <c r="G1753" s="490" t="s">
        <v>1099</v>
      </c>
      <c r="H1753" s="193" t="s">
        <v>1079</v>
      </c>
      <c r="I1753" s="252">
        <v>200</v>
      </c>
      <c r="J1753" s="252">
        <v>13500</v>
      </c>
      <c r="K1753" s="38">
        <f>ROUND(I1753*J1753,0)</f>
        <v>2700000</v>
      </c>
      <c r="L1753" s="194" t="s">
        <v>284</v>
      </c>
      <c r="M1753" s="194" t="s">
        <v>185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211"/>
      <c r="AB1753" s="211"/>
      <c r="AC1753" s="211"/>
      <c r="AD1753" s="211"/>
    </row>
    <row r="1754" spans="1:30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02"/>
        <v>12</v>
      </c>
      <c r="C1754" s="191">
        <f t="shared" si="101"/>
        <v>41265</v>
      </c>
      <c r="D1754" s="191" t="s">
        <v>1608</v>
      </c>
      <c r="E1754" s="191">
        <v>41265</v>
      </c>
      <c r="F1754" s="192" t="s">
        <v>555</v>
      </c>
      <c r="G1754" s="490" t="s">
        <v>1099</v>
      </c>
      <c r="H1754" s="193" t="s">
        <v>1079</v>
      </c>
      <c r="I1754" s="252"/>
      <c r="J1754" s="252"/>
      <c r="K1754" s="38">
        <v>270000</v>
      </c>
      <c r="L1754" s="194" t="s">
        <v>284</v>
      </c>
      <c r="M1754" s="194" t="s">
        <v>495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198"/>
      <c r="AB1754" s="198"/>
      <c r="AC1754" s="198"/>
      <c r="AD1754" s="198"/>
    </row>
    <row r="1755" spans="1:30" s="211" customFormat="1" ht="15.75" customHeight="1">
      <c r="A1755" s="204" t="str">
        <f>IF(B1755&lt;&gt;"",IF(AND(B1755&gt;=_TM1,B1755&lt;=_TM2,OR(TH!L1755="1111",TH!M1755="1111")),TH!D1755,""),"")</f>
        <v>T20</v>
      </c>
      <c r="B1755" s="36">
        <f t="shared" si="102"/>
        <v>12</v>
      </c>
      <c r="C1755" s="191">
        <f t="shared" si="101"/>
        <v>41265</v>
      </c>
      <c r="D1755" s="191" t="s">
        <v>1652</v>
      </c>
      <c r="E1755" s="191">
        <v>41265</v>
      </c>
      <c r="F1755" s="192" t="s">
        <v>365</v>
      </c>
      <c r="G1755" s="490" t="s">
        <v>1099</v>
      </c>
      <c r="H1755" s="193" t="s">
        <v>1079</v>
      </c>
      <c r="I1755" s="252"/>
      <c r="J1755" s="252"/>
      <c r="K1755" s="38">
        <v>2970000</v>
      </c>
      <c r="L1755" s="194" t="s">
        <v>48</v>
      </c>
      <c r="M1755" s="194" t="s">
        <v>284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198"/>
      <c r="AB1755" s="198"/>
      <c r="AC1755" s="198"/>
      <c r="AD1755" s="198"/>
    </row>
    <row r="1756" spans="1:30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02"/>
        <v>12</v>
      </c>
      <c r="C1756" s="191">
        <f t="shared" si="101"/>
        <v>41265</v>
      </c>
      <c r="D1756" s="191" t="s">
        <v>1609</v>
      </c>
      <c r="E1756" s="191">
        <v>41265</v>
      </c>
      <c r="F1756" s="192" t="s">
        <v>1118</v>
      </c>
      <c r="G1756" s="490" t="s">
        <v>1100</v>
      </c>
      <c r="H1756" s="7" t="s">
        <v>632</v>
      </c>
      <c r="I1756" s="252">
        <v>1618</v>
      </c>
      <c r="J1756" s="252">
        <v>5400</v>
      </c>
      <c r="K1756" s="38">
        <f>ROUND(I1756*J1756,0)</f>
        <v>8737200</v>
      </c>
      <c r="L1756" s="194" t="s">
        <v>284</v>
      </c>
      <c r="M1756" s="194" t="s">
        <v>185</v>
      </c>
      <c r="N1756" s="52" t="str">
        <f>IF(AND('331-CT'!$E$7=TH!H1756,OR(L1756="331",M1756="331")),"331",IF(AND(OR(L1756="131",M1756="131"),H1756='131-CT'!$E$7),"131",""))</f>
        <v>131</v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30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02"/>
        <v>12</v>
      </c>
      <c r="C1757" s="191">
        <f t="shared" si="101"/>
        <v>41265</v>
      </c>
      <c r="D1757" s="191" t="s">
        <v>1609</v>
      </c>
      <c r="E1757" s="191">
        <v>41265</v>
      </c>
      <c r="F1757" s="192" t="s">
        <v>1117</v>
      </c>
      <c r="G1757" s="490" t="s">
        <v>1100</v>
      </c>
      <c r="H1757" s="7" t="s">
        <v>632</v>
      </c>
      <c r="I1757" s="252">
        <v>302</v>
      </c>
      <c r="J1757" s="252">
        <v>10300</v>
      </c>
      <c r="K1757" s="38">
        <f>ROUND(I1757*J1757,0)</f>
        <v>3110600</v>
      </c>
      <c r="L1757" s="194" t="s">
        <v>284</v>
      </c>
      <c r="M1757" s="194" t="s">
        <v>185</v>
      </c>
      <c r="N1757" s="52" t="str">
        <f>IF(AND('331-CT'!$E$7=TH!H1757,OR(L1757="331",M1757="331")),"331",IF(AND(OR(L1757="131",M1757="131"),H1757='131-CT'!$E$7),"131",""))</f>
        <v>131</v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02"/>
        <v>12</v>
      </c>
      <c r="C1758" s="191">
        <f t="shared" si="101"/>
        <v>41265</v>
      </c>
      <c r="D1758" s="191" t="s">
        <v>1609</v>
      </c>
      <c r="E1758" s="191">
        <v>41265</v>
      </c>
      <c r="F1758" s="192" t="s">
        <v>555</v>
      </c>
      <c r="G1758" s="490" t="s">
        <v>1100</v>
      </c>
      <c r="H1758" s="7" t="s">
        <v>632</v>
      </c>
      <c r="I1758" s="252"/>
      <c r="J1758" s="252"/>
      <c r="K1758" s="38">
        <v>1184780</v>
      </c>
      <c r="L1758" s="194" t="s">
        <v>284</v>
      </c>
      <c r="M1758" s="194" t="s">
        <v>495</v>
      </c>
      <c r="N1758" s="52" t="str">
        <f>IF(AND('331-CT'!$E$7=TH!H1758,OR(L1758="331",M1758="331")),"331",IF(AND(OR(L1758="131",M1758="131"),H1758='131-CT'!$E$7),"131",""))</f>
        <v>131</v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02"/>
        <v>12</v>
      </c>
      <c r="C1759" s="191">
        <v>41267</v>
      </c>
      <c r="D1759" s="191" t="s">
        <v>363</v>
      </c>
      <c r="E1759" s="191">
        <v>41267</v>
      </c>
      <c r="F1759" s="192" t="s">
        <v>365</v>
      </c>
      <c r="G1759" s="192" t="s">
        <v>361</v>
      </c>
      <c r="H1759" s="7" t="s">
        <v>500</v>
      </c>
      <c r="I1759" s="252"/>
      <c r="J1759" s="252"/>
      <c r="K1759" s="38">
        <v>15067965</v>
      </c>
      <c r="L1759" s="194" t="s">
        <v>24</v>
      </c>
      <c r="M1759" s="194" t="s">
        <v>284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>x</v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30" s="211" customFormat="1" ht="15.75" customHeight="1">
      <c r="A1760" s="204" t="str">
        <f>IF(B1760&lt;&gt;"",IF(AND(B1760&gt;=_TM1,B1760&lt;=_TM2,OR(TH!L1760="1111",TH!M1760="1111")),TH!D1760,""),"")</f>
        <v>C25</v>
      </c>
      <c r="B1760" s="36">
        <f t="shared" si="102"/>
        <v>12</v>
      </c>
      <c r="C1760" s="191">
        <v>41267</v>
      </c>
      <c r="D1760" s="191" t="s">
        <v>454</v>
      </c>
      <c r="E1760" s="191">
        <v>41267</v>
      </c>
      <c r="F1760" s="192" t="s">
        <v>689</v>
      </c>
      <c r="G1760" s="192" t="s">
        <v>909</v>
      </c>
      <c r="H1760" s="193" t="s">
        <v>401</v>
      </c>
      <c r="I1760" s="252"/>
      <c r="J1760" s="252"/>
      <c r="K1760" s="38">
        <v>2600000</v>
      </c>
      <c r="L1760" s="194" t="s">
        <v>175</v>
      </c>
      <c r="M1760" s="194" t="s">
        <v>48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198"/>
      <c r="AB1760" s="198"/>
      <c r="AC1760" s="198"/>
      <c r="AD1760" s="198"/>
    </row>
    <row r="1761" spans="1:30" ht="15.75" customHeight="1">
      <c r="A1761" s="204" t="str">
        <f>IF(B1761&lt;&gt;"",IF(AND(B1761&gt;=_TM1,B1761&lt;=_TM2,OR(TH!L1761="1111",TH!M1761="1111")),TH!D1761,""),"")</f>
        <v>C25</v>
      </c>
      <c r="B1761" s="36">
        <f t="shared" si="102"/>
        <v>12</v>
      </c>
      <c r="C1761" s="191">
        <v>41267</v>
      </c>
      <c r="D1761" s="191" t="s">
        <v>454</v>
      </c>
      <c r="E1761" s="191">
        <v>41267</v>
      </c>
      <c r="F1761" s="192" t="s">
        <v>372</v>
      </c>
      <c r="G1761" s="192" t="s">
        <v>909</v>
      </c>
      <c r="H1761" s="193" t="s">
        <v>401</v>
      </c>
      <c r="I1761" s="252"/>
      <c r="J1761" s="252"/>
      <c r="K1761" s="38">
        <v>260000</v>
      </c>
      <c r="L1761" s="194" t="s">
        <v>9</v>
      </c>
      <c r="M1761" s="194" t="s">
        <v>48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198">
        <v>12</v>
      </c>
    </row>
    <row r="1762" spans="1:30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02"/>
        <v>12</v>
      </c>
      <c r="C1762" s="191">
        <v>41268</v>
      </c>
      <c r="D1762" s="191" t="s">
        <v>363</v>
      </c>
      <c r="E1762" s="191">
        <v>41268</v>
      </c>
      <c r="F1762" s="192" t="s">
        <v>365</v>
      </c>
      <c r="G1762" s="192" t="s">
        <v>361</v>
      </c>
      <c r="H1762" s="45" t="s">
        <v>891</v>
      </c>
      <c r="I1762" s="252"/>
      <c r="J1762" s="252"/>
      <c r="K1762" s="38">
        <v>17039000</v>
      </c>
      <c r="L1762" s="194" t="s">
        <v>24</v>
      </c>
      <c r="M1762" s="194" t="s">
        <v>284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>x</v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198"/>
      <c r="AB1762" s="198"/>
      <c r="AC1762" s="198"/>
      <c r="AD1762" s="198"/>
    </row>
    <row r="1763" spans="1:30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02"/>
        <v>12</v>
      </c>
      <c r="C1763" s="191">
        <v>41268</v>
      </c>
      <c r="D1763" s="191" t="s">
        <v>363</v>
      </c>
      <c r="E1763" s="191">
        <v>41268</v>
      </c>
      <c r="F1763" s="192" t="s">
        <v>365</v>
      </c>
      <c r="G1763" s="192" t="s">
        <v>361</v>
      </c>
      <c r="H1763" s="193" t="s">
        <v>910</v>
      </c>
      <c r="I1763" s="252"/>
      <c r="J1763" s="252"/>
      <c r="K1763" s="38">
        <v>6158000</v>
      </c>
      <c r="L1763" s="194" t="s">
        <v>24</v>
      </c>
      <c r="M1763" s="194" t="s">
        <v>284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>x</v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198"/>
      <c r="AB1763" s="198"/>
      <c r="AC1763" s="198"/>
      <c r="AD1763" s="198"/>
    </row>
    <row r="1764" spans="1:30" s="211" customFormat="1" ht="15.75" customHeight="1">
      <c r="A1764" s="204" t="str">
        <f>IF(B1764&lt;&gt;"",IF(AND(B1764&gt;=_TM1,B1764&lt;=_TM2,OR(TH!L1764="1111",TH!M1764="1111")),TH!D1764,""),"")</f>
        <v>C26</v>
      </c>
      <c r="B1764" s="36">
        <f t="shared" si="102"/>
        <v>12</v>
      </c>
      <c r="C1764" s="191">
        <v>41268</v>
      </c>
      <c r="D1764" s="191" t="s">
        <v>455</v>
      </c>
      <c r="E1764" s="191">
        <v>41268</v>
      </c>
      <c r="F1764" s="192" t="s">
        <v>396</v>
      </c>
      <c r="G1764" s="490" t="s">
        <v>361</v>
      </c>
      <c r="H1764" s="210" t="s">
        <v>684</v>
      </c>
      <c r="I1764" s="254"/>
      <c r="J1764" s="254"/>
      <c r="K1764" s="38">
        <v>6000000</v>
      </c>
      <c r="L1764" s="194" t="s">
        <v>24</v>
      </c>
      <c r="M1764" s="194" t="s">
        <v>48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>x</v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198"/>
      <c r="AB1764" s="198"/>
      <c r="AC1764" s="198"/>
      <c r="AD1764" s="198"/>
    </row>
    <row r="1765" spans="1:30" ht="15.75" customHeight="1">
      <c r="A1765" s="204" t="str">
        <f>IF(B1765&lt;&gt;"",IF(AND(B1765&gt;=_TM1,B1765&lt;=_TM2,OR(TH!L1765="1111",TH!M1765="1111")),TH!D1765,""),"")</f>
        <v/>
      </c>
      <c r="B1765" s="36">
        <f t="shared" si="102"/>
        <v>12</v>
      </c>
      <c r="C1765" s="191">
        <v>41268</v>
      </c>
      <c r="D1765" s="191" t="s">
        <v>363</v>
      </c>
      <c r="E1765" s="191">
        <v>41268</v>
      </c>
      <c r="F1765" s="192" t="s">
        <v>398</v>
      </c>
      <c r="G1765" s="490" t="s">
        <v>361</v>
      </c>
      <c r="H1765" s="210"/>
      <c r="I1765" s="254"/>
      <c r="J1765" s="254"/>
      <c r="K1765" s="38">
        <v>11977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>x</v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30" ht="15.75" customHeight="1">
      <c r="A1766" s="204" t="str">
        <f>IF(B1766&lt;&gt;"",IF(AND(B1766&gt;=_TM1,B1766&lt;=_TM2,OR(TH!L1766="1111",TH!M1766="1111")),TH!D1766,""),"")</f>
        <v>T21</v>
      </c>
      <c r="B1766" s="36">
        <f t="shared" si="102"/>
        <v>12</v>
      </c>
      <c r="C1766" s="191">
        <v>41268</v>
      </c>
      <c r="D1766" s="191" t="s">
        <v>1653</v>
      </c>
      <c r="E1766" s="191">
        <v>41268</v>
      </c>
      <c r="F1766" s="192" t="s">
        <v>559</v>
      </c>
      <c r="G1766" s="192" t="s">
        <v>361</v>
      </c>
      <c r="H1766" s="193" t="s">
        <v>684</v>
      </c>
      <c r="I1766" s="252"/>
      <c r="J1766" s="252"/>
      <c r="K1766" s="38">
        <v>38500000</v>
      </c>
      <c r="L1766" s="194" t="s">
        <v>48</v>
      </c>
      <c r="M1766" s="194" t="s">
        <v>24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>x</v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30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02"/>
        <v>12</v>
      </c>
      <c r="C1767" s="191">
        <v>41268</v>
      </c>
      <c r="D1767" s="191" t="s">
        <v>364</v>
      </c>
      <c r="E1767" s="191">
        <v>41268</v>
      </c>
      <c r="F1767" s="192" t="s">
        <v>400</v>
      </c>
      <c r="G1767" s="192" t="s">
        <v>361</v>
      </c>
      <c r="H1767" s="7" t="s">
        <v>436</v>
      </c>
      <c r="I1767" s="252"/>
      <c r="J1767" s="252"/>
      <c r="K1767" s="38">
        <v>6000000</v>
      </c>
      <c r="L1767" s="616" t="s">
        <v>8</v>
      </c>
      <c r="M1767" s="194" t="s">
        <v>24</v>
      </c>
      <c r="N1767" s="52" t="str">
        <f>IF(AND('331-CT'!$E$7=TH!H1767,OR(L1767="331",M1767="331")),"331",IF(AND(OR(L1767="131",M1767="131"),H1767='131-CT'!$E$7),"131",""))</f>
        <v>331</v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>x</v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198"/>
      <c r="AB1767" s="198"/>
      <c r="AC1767" s="198"/>
      <c r="AD1767" s="198"/>
    </row>
    <row r="1768" spans="1:30" ht="15.75" customHeight="1">
      <c r="A1768" s="204" t="str">
        <f>IF(B1768&lt;&gt;"",IF(AND(B1768&gt;=_TM1,B1768&lt;=_TM2,OR(TH!L1768="1111",TH!M1768="1111")),TH!D1768,""),"")</f>
        <v/>
      </c>
      <c r="B1768" s="36">
        <f t="shared" si="102"/>
        <v>12</v>
      </c>
      <c r="C1768" s="191">
        <v>41268</v>
      </c>
      <c r="D1768" s="191" t="s">
        <v>364</v>
      </c>
      <c r="E1768" s="191">
        <v>41268</v>
      </c>
      <c r="F1768" s="192" t="s">
        <v>366</v>
      </c>
      <c r="G1768" s="192" t="s">
        <v>361</v>
      </c>
      <c r="H1768" s="193"/>
      <c r="I1768" s="252"/>
      <c r="J1768" s="252"/>
      <c r="K1768" s="38">
        <v>20000</v>
      </c>
      <c r="L1768" s="194" t="s">
        <v>84</v>
      </c>
      <c r="M1768" s="194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>x</v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30" ht="15.75" customHeight="1">
      <c r="A1769" s="204" t="str">
        <f>IF(B1769&lt;&gt;"",IF(AND(B1769&gt;=_TM1,B1769&lt;=_TM2,OR(TH!L1769="1111",TH!M1769="1111")),TH!D1769,""),"")</f>
        <v>C27</v>
      </c>
      <c r="B1769" s="36">
        <f t="shared" si="102"/>
        <v>12</v>
      </c>
      <c r="C1769" s="191">
        <v>41268</v>
      </c>
      <c r="D1769" s="191" t="s">
        <v>456</v>
      </c>
      <c r="E1769" s="191">
        <v>41268</v>
      </c>
      <c r="F1769" s="192" t="s">
        <v>911</v>
      </c>
      <c r="G1769" s="192" t="s">
        <v>912</v>
      </c>
      <c r="H1769" s="193" t="s">
        <v>913</v>
      </c>
      <c r="I1769" s="252"/>
      <c r="J1769" s="252"/>
      <c r="K1769" s="38">
        <v>1400000</v>
      </c>
      <c r="L1769" s="194" t="s">
        <v>84</v>
      </c>
      <c r="M1769" s="194" t="s">
        <v>48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30" s="211" customFormat="1" ht="15.75" customHeight="1">
      <c r="A1770" s="204" t="str">
        <f>IF(B1770&lt;&gt;"",IF(AND(B1770&gt;=_TM1,B1770&lt;=_TM2,OR(TH!L1770="1111",TH!M1770="1111")),TH!D1770,""),"")</f>
        <v>C27</v>
      </c>
      <c r="B1770" s="36">
        <f t="shared" si="102"/>
        <v>12</v>
      </c>
      <c r="C1770" s="191">
        <v>41268</v>
      </c>
      <c r="D1770" s="191" t="s">
        <v>456</v>
      </c>
      <c r="E1770" s="191">
        <v>41268</v>
      </c>
      <c r="F1770" s="192" t="s">
        <v>914</v>
      </c>
      <c r="G1770" s="192" t="s">
        <v>912</v>
      </c>
      <c r="H1770" s="193" t="s">
        <v>913</v>
      </c>
      <c r="I1770" s="252"/>
      <c r="J1770" s="252"/>
      <c r="K1770" s="38">
        <v>140000</v>
      </c>
      <c r="L1770" s="194" t="s">
        <v>9</v>
      </c>
      <c r="M1770" s="194" t="s">
        <v>48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198">
        <v>12</v>
      </c>
      <c r="AB1770" s="198"/>
      <c r="AC1770" s="198"/>
      <c r="AD1770" s="198"/>
    </row>
    <row r="1771" spans="1:30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02"/>
        <v>12</v>
      </c>
      <c r="C1771" s="191">
        <v>41268</v>
      </c>
      <c r="D1771" s="191" t="s">
        <v>469</v>
      </c>
      <c r="E1771" s="191">
        <v>41268</v>
      </c>
      <c r="F1771" s="192" t="s">
        <v>915</v>
      </c>
      <c r="G1771" s="192" t="s">
        <v>916</v>
      </c>
      <c r="H1771" s="193" t="s">
        <v>606</v>
      </c>
      <c r="I1771" s="252">
        <v>60</v>
      </c>
      <c r="J1771" s="252">
        <v>26179</v>
      </c>
      <c r="K1771" s="38">
        <v>1570740</v>
      </c>
      <c r="L1771" s="194" t="s">
        <v>169</v>
      </c>
      <c r="M1771" s="616" t="s">
        <v>8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198"/>
      <c r="AB1771" s="606"/>
      <c r="AC1771" s="198"/>
      <c r="AD1771" s="198"/>
    </row>
    <row r="1772" spans="1:30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02"/>
        <v>12</v>
      </c>
      <c r="C1772" s="191">
        <v>41268</v>
      </c>
      <c r="D1772" s="191" t="s">
        <v>469</v>
      </c>
      <c r="E1772" s="191">
        <v>41268</v>
      </c>
      <c r="F1772" s="192" t="s">
        <v>917</v>
      </c>
      <c r="G1772" s="192" t="s">
        <v>916</v>
      </c>
      <c r="H1772" s="193" t="s">
        <v>606</v>
      </c>
      <c r="I1772" s="252">
        <v>650</v>
      </c>
      <c r="J1772" s="252">
        <v>22663</v>
      </c>
      <c r="K1772" s="38">
        <v>14730950</v>
      </c>
      <c r="L1772" s="194" t="s">
        <v>169</v>
      </c>
      <c r="M1772" s="616" t="s">
        <v>8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198"/>
      <c r="AB1772" s="606"/>
      <c r="AC1772" s="198"/>
      <c r="AD1772" s="198"/>
    </row>
    <row r="1773" spans="1:30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02"/>
        <v>12</v>
      </c>
      <c r="C1773" s="191">
        <v>41268</v>
      </c>
      <c r="D1773" s="191" t="s">
        <v>469</v>
      </c>
      <c r="E1773" s="191">
        <v>41268</v>
      </c>
      <c r="F1773" s="192" t="s">
        <v>620</v>
      </c>
      <c r="G1773" s="192" t="s">
        <v>916</v>
      </c>
      <c r="H1773" s="193" t="s">
        <v>606</v>
      </c>
      <c r="I1773" s="252"/>
      <c r="J1773" s="252"/>
      <c r="K1773" s="38">
        <v>1630169</v>
      </c>
      <c r="L1773" s="194" t="s">
        <v>9</v>
      </c>
      <c r="M1773" s="616" t="s">
        <v>8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198">
        <v>12</v>
      </c>
      <c r="AB1773" s="198"/>
      <c r="AC1773" s="198"/>
      <c r="AD1773" s="198"/>
    </row>
    <row r="1774" spans="1:30" ht="15.75" customHeight="1">
      <c r="A1774" s="204" t="str">
        <f>IF(B1774&lt;&gt;"",IF(AND(B1774&gt;=_TM1,B1774&lt;=_TM2,OR(TH!L1774="1111",TH!M1774="1111")),TH!D1774,""),"")</f>
        <v>C28</v>
      </c>
      <c r="B1774" s="36">
        <f t="shared" si="102"/>
        <v>12</v>
      </c>
      <c r="C1774" s="191">
        <v>41268</v>
      </c>
      <c r="D1774" s="191" t="s">
        <v>457</v>
      </c>
      <c r="E1774" s="191">
        <v>41268</v>
      </c>
      <c r="F1774" s="192" t="s">
        <v>400</v>
      </c>
      <c r="G1774" s="192" t="s">
        <v>916</v>
      </c>
      <c r="H1774" s="193" t="s">
        <v>606</v>
      </c>
      <c r="I1774" s="252"/>
      <c r="J1774" s="252"/>
      <c r="K1774" s="38">
        <v>17931859</v>
      </c>
      <c r="L1774" s="616" t="s">
        <v>8</v>
      </c>
      <c r="M1774" s="616" t="s">
        <v>48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30" ht="15.75" customHeight="1">
      <c r="A1775" s="204" t="str">
        <f>IF(B1775&lt;&gt;"",IF(AND(B1775&gt;=_TM1,B1775&lt;=_TM2,OR(TH!L1775="1111",TH!M1775="1111")),TH!D1775,""),"")</f>
        <v/>
      </c>
      <c r="B1775" s="36">
        <f t="shared" si="102"/>
        <v>12</v>
      </c>
      <c r="C1775" s="191">
        <v>41268</v>
      </c>
      <c r="D1775" s="191" t="s">
        <v>470</v>
      </c>
      <c r="E1775" s="191">
        <v>41268</v>
      </c>
      <c r="F1775" s="192" t="s">
        <v>918</v>
      </c>
      <c r="G1775" s="192" t="s">
        <v>919</v>
      </c>
      <c r="H1775" s="193" t="s">
        <v>606</v>
      </c>
      <c r="I1775" s="252">
        <v>517</v>
      </c>
      <c r="J1775" s="252">
        <v>19982</v>
      </c>
      <c r="K1775" s="38">
        <v>10330694</v>
      </c>
      <c r="L1775" s="194" t="s">
        <v>169</v>
      </c>
      <c r="M1775" s="616" t="s">
        <v>8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B1775" s="606"/>
    </row>
    <row r="1776" spans="1:30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02"/>
        <v>12</v>
      </c>
      <c r="C1776" s="191">
        <v>41268</v>
      </c>
      <c r="D1776" s="191" t="s">
        <v>470</v>
      </c>
      <c r="E1776" s="191">
        <v>41268</v>
      </c>
      <c r="F1776" s="192" t="s">
        <v>620</v>
      </c>
      <c r="G1776" s="490" t="s">
        <v>919</v>
      </c>
      <c r="H1776" s="193" t="s">
        <v>606</v>
      </c>
      <c r="I1776" s="252"/>
      <c r="J1776" s="252"/>
      <c r="K1776" s="38">
        <v>1033069</v>
      </c>
      <c r="L1776" s="194" t="s">
        <v>9</v>
      </c>
      <c r="M1776" s="616" t="s">
        <v>8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198">
        <v>12</v>
      </c>
      <c r="AB1776" s="198"/>
      <c r="AC1776" s="198"/>
      <c r="AD1776" s="198"/>
    </row>
    <row r="1777" spans="1:30" s="211" customFormat="1" ht="15.75" customHeight="1">
      <c r="A1777" s="204" t="str">
        <f>IF(B1777&lt;&gt;"",IF(AND(B1777&gt;=_TM1,B1777&lt;=_TM2,OR(TH!L1777="1111",TH!M1777="1111")),TH!D1777,""),"")</f>
        <v>C29</v>
      </c>
      <c r="B1777" s="36">
        <f t="shared" si="102"/>
        <v>12</v>
      </c>
      <c r="C1777" s="191">
        <v>41268</v>
      </c>
      <c r="D1777" s="191" t="s">
        <v>1659</v>
      </c>
      <c r="E1777" s="191">
        <v>41268</v>
      </c>
      <c r="F1777" s="192" t="s">
        <v>400</v>
      </c>
      <c r="G1777" s="490" t="s">
        <v>919</v>
      </c>
      <c r="H1777" s="193" t="s">
        <v>606</v>
      </c>
      <c r="I1777" s="252"/>
      <c r="J1777" s="252"/>
      <c r="K1777" s="38">
        <v>11363763</v>
      </c>
      <c r="L1777" s="616" t="s">
        <v>8</v>
      </c>
      <c r="M1777" s="616" t="s">
        <v>48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198"/>
      <c r="AB1777" s="198"/>
      <c r="AC1777" s="198"/>
      <c r="AD1777" s="198"/>
    </row>
    <row r="1778" spans="1:30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02"/>
        <v>12</v>
      </c>
      <c r="C1778" s="191">
        <v>41269</v>
      </c>
      <c r="D1778" s="191" t="s">
        <v>364</v>
      </c>
      <c r="E1778" s="191">
        <v>41269</v>
      </c>
      <c r="F1778" s="192" t="s">
        <v>730</v>
      </c>
      <c r="G1778" s="490" t="s">
        <v>361</v>
      </c>
      <c r="H1778" s="193"/>
      <c r="I1778" s="252"/>
      <c r="J1778" s="252"/>
      <c r="K1778" s="38">
        <v>10000</v>
      </c>
      <c r="L1778" s="194" t="s">
        <v>84</v>
      </c>
      <c r="M1778" s="194" t="s">
        <v>24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>x</v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198"/>
      <c r="AB1778" s="198"/>
      <c r="AC1778" s="198"/>
      <c r="AD1778" s="198"/>
    </row>
    <row r="1779" spans="1:30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02"/>
        <v>12</v>
      </c>
      <c r="C1779" s="191">
        <v>41270</v>
      </c>
      <c r="D1779" s="191" t="s">
        <v>471</v>
      </c>
      <c r="E1779" s="191">
        <v>41270</v>
      </c>
      <c r="F1779" s="192" t="s">
        <v>917</v>
      </c>
      <c r="G1779" s="490" t="s">
        <v>920</v>
      </c>
      <c r="H1779" s="193" t="s">
        <v>606</v>
      </c>
      <c r="I1779" s="252">
        <v>338</v>
      </c>
      <c r="J1779" s="252">
        <v>22663</v>
      </c>
      <c r="K1779" s="38">
        <v>7660094</v>
      </c>
      <c r="L1779" s="194" t="s">
        <v>169</v>
      </c>
      <c r="M1779" s="616" t="s">
        <v>8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198"/>
      <c r="AB1779" s="606"/>
      <c r="AC1779" s="198"/>
      <c r="AD1779" s="198"/>
    </row>
    <row r="1780" spans="1:30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02"/>
        <v>12</v>
      </c>
      <c r="C1780" s="191">
        <v>41270</v>
      </c>
      <c r="D1780" s="191" t="s">
        <v>471</v>
      </c>
      <c r="E1780" s="191">
        <v>41270</v>
      </c>
      <c r="F1780" s="192" t="s">
        <v>620</v>
      </c>
      <c r="G1780" s="490" t="s">
        <v>920</v>
      </c>
      <c r="H1780" s="193" t="s">
        <v>606</v>
      </c>
      <c r="I1780" s="252"/>
      <c r="J1780" s="252"/>
      <c r="K1780" s="38">
        <v>766009</v>
      </c>
      <c r="L1780" s="194" t="s">
        <v>9</v>
      </c>
      <c r="M1780" s="616" t="s">
        <v>8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198">
        <v>12</v>
      </c>
      <c r="AB1780" s="198"/>
      <c r="AC1780" s="198"/>
      <c r="AD1780" s="198"/>
    </row>
    <row r="1781" spans="1:30" ht="15.75" customHeight="1">
      <c r="A1781" s="204" t="str">
        <f>IF(B1781&lt;&gt;"",IF(AND(B1781&gt;=_TM1,B1781&lt;=_TM2,OR(TH!L1781="1111",TH!M1781="1111")),TH!D1781,""),"")</f>
        <v>C30</v>
      </c>
      <c r="B1781" s="36">
        <f t="shared" si="102"/>
        <v>12</v>
      </c>
      <c r="C1781" s="191">
        <v>41270</v>
      </c>
      <c r="D1781" s="191" t="s">
        <v>1661</v>
      </c>
      <c r="E1781" s="191">
        <v>41270</v>
      </c>
      <c r="F1781" s="192" t="s">
        <v>400</v>
      </c>
      <c r="G1781" s="490" t="s">
        <v>920</v>
      </c>
      <c r="H1781" s="193" t="s">
        <v>606</v>
      </c>
      <c r="I1781" s="252"/>
      <c r="J1781" s="252"/>
      <c r="K1781" s="38">
        <v>8426103</v>
      </c>
      <c r="L1781" s="616" t="s">
        <v>8</v>
      </c>
      <c r="M1781" s="616" t="s">
        <v>48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02"/>
        <v>12</v>
      </c>
      <c r="C1782" s="191">
        <v>41271</v>
      </c>
      <c r="D1782" s="191" t="s">
        <v>472</v>
      </c>
      <c r="E1782" s="191">
        <v>41271</v>
      </c>
      <c r="F1782" s="192" t="s">
        <v>921</v>
      </c>
      <c r="G1782" s="490" t="s">
        <v>922</v>
      </c>
      <c r="H1782" s="193" t="s">
        <v>606</v>
      </c>
      <c r="I1782" s="252">
        <v>381</v>
      </c>
      <c r="J1782" s="252">
        <v>19699</v>
      </c>
      <c r="K1782" s="38">
        <v>7505319</v>
      </c>
      <c r="L1782" s="194" t="s">
        <v>169</v>
      </c>
      <c r="M1782" s="616" t="s">
        <v>8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606"/>
    </row>
    <row r="1783" spans="1:30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02"/>
        <v>12</v>
      </c>
      <c r="C1783" s="191">
        <v>41271</v>
      </c>
      <c r="D1783" s="191" t="s">
        <v>472</v>
      </c>
      <c r="E1783" s="191">
        <v>41271</v>
      </c>
      <c r="F1783" s="192" t="s">
        <v>923</v>
      </c>
      <c r="G1783" s="490" t="s">
        <v>922</v>
      </c>
      <c r="H1783" s="193" t="s">
        <v>606</v>
      </c>
      <c r="I1783" s="252">
        <v>50</v>
      </c>
      <c r="J1783" s="252">
        <v>32832</v>
      </c>
      <c r="K1783" s="38">
        <v>1641600</v>
      </c>
      <c r="L1783" s="194" t="s">
        <v>169</v>
      </c>
      <c r="M1783" s="616" t="s">
        <v>8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198"/>
      <c r="AB1783" s="606"/>
      <c r="AC1783" s="198"/>
      <c r="AD1783" s="19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02"/>
        <v>12</v>
      </c>
      <c r="C1784" s="191">
        <v>41271</v>
      </c>
      <c r="D1784" s="191" t="s">
        <v>472</v>
      </c>
      <c r="E1784" s="191">
        <v>41271</v>
      </c>
      <c r="F1784" s="192" t="s">
        <v>620</v>
      </c>
      <c r="G1784" s="490" t="s">
        <v>922</v>
      </c>
      <c r="H1784" s="193" t="s">
        <v>606</v>
      </c>
      <c r="I1784" s="252"/>
      <c r="J1784" s="252"/>
      <c r="K1784" s="38">
        <v>914692</v>
      </c>
      <c r="L1784" s="194" t="s">
        <v>9</v>
      </c>
      <c r="M1784" s="616" t="s">
        <v>8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198">
        <v>12</v>
      </c>
    </row>
    <row r="1785" spans="1:30" ht="15.75" customHeight="1">
      <c r="A1785" s="204" t="str">
        <f>IF(B1785&lt;&gt;"",IF(AND(B1785&gt;=_TM1,B1785&lt;=_TM2,OR(TH!L1785="1111",TH!M1785="1111")),TH!D1785,""),"")</f>
        <v>C31</v>
      </c>
      <c r="B1785" s="36">
        <f t="shared" si="102"/>
        <v>12</v>
      </c>
      <c r="C1785" s="191">
        <v>41271</v>
      </c>
      <c r="D1785" s="191" t="s">
        <v>1663</v>
      </c>
      <c r="E1785" s="191">
        <v>41271</v>
      </c>
      <c r="F1785" s="192" t="s">
        <v>400</v>
      </c>
      <c r="G1785" s="490" t="s">
        <v>922</v>
      </c>
      <c r="H1785" s="193" t="s">
        <v>606</v>
      </c>
      <c r="I1785" s="252"/>
      <c r="J1785" s="252"/>
      <c r="K1785" s="38">
        <v>10061611</v>
      </c>
      <c r="L1785" s="616" t="s">
        <v>8</v>
      </c>
      <c r="M1785" s="616" t="s">
        <v>48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30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02"/>
        <v>12</v>
      </c>
      <c r="C1786" s="191">
        <f t="shared" ref="C1786:C1798" si="103">E1786</f>
        <v>41272</v>
      </c>
      <c r="D1786" s="191" t="s">
        <v>1610</v>
      </c>
      <c r="E1786" s="191">
        <v>41272</v>
      </c>
      <c r="F1786" s="192" t="s">
        <v>1115</v>
      </c>
      <c r="G1786" s="490" t="s">
        <v>1101</v>
      </c>
      <c r="H1786" s="193" t="s">
        <v>1102</v>
      </c>
      <c r="I1786" s="252">
        <v>97</v>
      </c>
      <c r="J1786" s="252">
        <v>21500</v>
      </c>
      <c r="K1786" s="38">
        <f>ROUND(I1786*J1786,0)</f>
        <v>2085500</v>
      </c>
      <c r="L1786" s="194" t="s">
        <v>284</v>
      </c>
      <c r="M1786" s="194" t="s">
        <v>185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30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02"/>
        <v>12</v>
      </c>
      <c r="C1787" s="191">
        <f t="shared" si="103"/>
        <v>41272</v>
      </c>
      <c r="D1787" s="191" t="s">
        <v>1610</v>
      </c>
      <c r="E1787" s="191">
        <v>41272</v>
      </c>
      <c r="F1787" s="192" t="s">
        <v>1116</v>
      </c>
      <c r="G1787" s="490" t="s">
        <v>1101</v>
      </c>
      <c r="H1787" s="193" t="s">
        <v>1102</v>
      </c>
      <c r="I1787" s="252">
        <v>376</v>
      </c>
      <c r="J1787" s="252">
        <v>23520</v>
      </c>
      <c r="K1787" s="38">
        <f>ROUND(I1787*J1787,0)</f>
        <v>8843520</v>
      </c>
      <c r="L1787" s="194" t="s">
        <v>284</v>
      </c>
      <c r="M1787" s="194" t="s">
        <v>185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02"/>
        <v>12</v>
      </c>
      <c r="C1788" s="191">
        <f t="shared" si="103"/>
        <v>41272</v>
      </c>
      <c r="D1788" s="191" t="s">
        <v>1610</v>
      </c>
      <c r="E1788" s="191">
        <v>41272</v>
      </c>
      <c r="F1788" s="192" t="s">
        <v>555</v>
      </c>
      <c r="G1788" s="490" t="s">
        <v>1101</v>
      </c>
      <c r="H1788" s="193" t="s">
        <v>1102</v>
      </c>
      <c r="I1788" s="252"/>
      <c r="J1788" s="252"/>
      <c r="K1788" s="38">
        <v>1092902</v>
      </c>
      <c r="L1788" s="194" t="s">
        <v>284</v>
      </c>
      <c r="M1788" s="194" t="s">
        <v>495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30" s="211" customFormat="1" ht="15.75" customHeight="1">
      <c r="A1789" s="204" t="str">
        <f>IF(B1789&lt;&gt;"",IF(AND(B1789&gt;=_TM1,B1789&lt;=_TM2,OR(TH!L1789="1111",TH!M1789="1111")),TH!D1789,""),"")</f>
        <v>T22</v>
      </c>
      <c r="B1789" s="36">
        <f t="shared" si="102"/>
        <v>12</v>
      </c>
      <c r="C1789" s="191">
        <f t="shared" si="103"/>
        <v>41272</v>
      </c>
      <c r="D1789" s="191" t="s">
        <v>1654</v>
      </c>
      <c r="E1789" s="191">
        <v>41272</v>
      </c>
      <c r="F1789" s="192" t="s">
        <v>365</v>
      </c>
      <c r="G1789" s="490" t="s">
        <v>1101</v>
      </c>
      <c r="H1789" s="193" t="s">
        <v>1102</v>
      </c>
      <c r="I1789" s="252"/>
      <c r="J1789" s="252"/>
      <c r="K1789" s="38">
        <v>12021922</v>
      </c>
      <c r="L1789" s="194" t="s">
        <v>48</v>
      </c>
      <c r="M1789" s="194" t="s">
        <v>284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198"/>
      <c r="AB1789" s="198"/>
      <c r="AC1789" s="198"/>
      <c r="AD1789" s="198"/>
    </row>
    <row r="1790" spans="1:30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02"/>
        <v>12</v>
      </c>
      <c r="C1790" s="191">
        <f t="shared" si="103"/>
        <v>41272</v>
      </c>
      <c r="D1790" s="191" t="s">
        <v>1611</v>
      </c>
      <c r="E1790" s="191">
        <v>41272</v>
      </c>
      <c r="F1790" s="192" t="s">
        <v>1114</v>
      </c>
      <c r="G1790" s="490" t="s">
        <v>1103</v>
      </c>
      <c r="H1790" s="7" t="s">
        <v>500</v>
      </c>
      <c r="I1790" s="252">
        <v>1020</v>
      </c>
      <c r="J1790" s="252">
        <v>13630</v>
      </c>
      <c r="K1790" s="38">
        <f>ROUND(I1790*J1790,0)</f>
        <v>13902600</v>
      </c>
      <c r="L1790" s="194" t="s">
        <v>284</v>
      </c>
      <c r="M1790" s="194" t="s">
        <v>185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02"/>
        <v>12</v>
      </c>
      <c r="C1791" s="191">
        <f t="shared" si="103"/>
        <v>41272</v>
      </c>
      <c r="D1791" s="191" t="s">
        <v>1611</v>
      </c>
      <c r="E1791" s="191">
        <v>41272</v>
      </c>
      <c r="F1791" s="192" t="s">
        <v>555</v>
      </c>
      <c r="G1791" s="490" t="s">
        <v>1103</v>
      </c>
      <c r="H1791" s="7" t="s">
        <v>500</v>
      </c>
      <c r="I1791" s="252"/>
      <c r="J1791" s="252"/>
      <c r="K1791" s="38">
        <v>1390260</v>
      </c>
      <c r="L1791" s="194" t="s">
        <v>284</v>
      </c>
      <c r="M1791" s="194" t="s">
        <v>495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02"/>
        <v>12</v>
      </c>
      <c r="C1792" s="191">
        <f t="shared" si="103"/>
        <v>41273</v>
      </c>
      <c r="D1792" s="37" t="s">
        <v>367</v>
      </c>
      <c r="E1792" s="191">
        <v>41273</v>
      </c>
      <c r="F1792" s="40" t="s">
        <v>1573</v>
      </c>
      <c r="G1792" s="40"/>
      <c r="H1792" s="7" t="s">
        <v>496</v>
      </c>
      <c r="I1792" s="252"/>
      <c r="J1792" s="252"/>
      <c r="K1792" s="615">
        <v>41</v>
      </c>
      <c r="L1792" s="194" t="s">
        <v>284</v>
      </c>
      <c r="M1792" s="39" t="s">
        <v>86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30" s="211" customFormat="1" ht="15.75" customHeight="1">
      <c r="A1793" s="204" t="str">
        <f>IF(B1793&lt;&gt;"",IF(AND(B1793&gt;=_TM1,B1793&lt;=_TM2,OR(TH!L1793="1111",TH!M1793="1111")),TH!D1793,""),"")</f>
        <v>T23</v>
      </c>
      <c r="B1793" s="36">
        <f t="shared" si="102"/>
        <v>12</v>
      </c>
      <c r="C1793" s="191">
        <f t="shared" si="103"/>
        <v>41273</v>
      </c>
      <c r="D1793" s="37" t="s">
        <v>1655</v>
      </c>
      <c r="E1793" s="191">
        <v>41273</v>
      </c>
      <c r="F1793" s="192" t="s">
        <v>365</v>
      </c>
      <c r="G1793" s="40"/>
      <c r="H1793" s="7" t="s">
        <v>497</v>
      </c>
      <c r="I1793" s="252"/>
      <c r="J1793" s="252"/>
      <c r="K1793" s="615">
        <v>10228589</v>
      </c>
      <c r="L1793" s="194" t="s">
        <v>48</v>
      </c>
      <c r="M1793" s="194" t="s">
        <v>284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198"/>
      <c r="AB1793" s="198"/>
      <c r="AC1793" s="198"/>
      <c r="AD1793" s="19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02"/>
        <v>12</v>
      </c>
      <c r="C1794" s="191">
        <f t="shared" si="103"/>
        <v>41273</v>
      </c>
      <c r="D1794" s="37" t="s">
        <v>367</v>
      </c>
      <c r="E1794" s="191">
        <v>41273</v>
      </c>
      <c r="F1794" s="40" t="s">
        <v>1573</v>
      </c>
      <c r="G1794" s="40"/>
      <c r="H1794" s="193" t="s">
        <v>910</v>
      </c>
      <c r="I1794" s="252"/>
      <c r="J1794" s="252"/>
      <c r="K1794" s="615">
        <v>24</v>
      </c>
      <c r="L1794" s="194" t="s">
        <v>284</v>
      </c>
      <c r="M1794" s="39" t="s">
        <v>86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30" ht="15.75" customHeight="1">
      <c r="A1795" s="204" t="str">
        <f>IF(B1795&lt;&gt;"",IF(AND(B1795&gt;=_TM1,B1795&lt;=_TM2,OR(TH!L1795="1111",TH!M1795="1111")),TH!D1795,""),"")</f>
        <v/>
      </c>
      <c r="B1795" s="36">
        <f t="shared" si="102"/>
        <v>12</v>
      </c>
      <c r="C1795" s="740">
        <f t="shared" si="103"/>
        <v>41274</v>
      </c>
      <c r="D1795" s="740" t="s">
        <v>367</v>
      </c>
      <c r="E1795" s="853">
        <v>41274</v>
      </c>
      <c r="F1795" s="741" t="s">
        <v>1584</v>
      </c>
      <c r="G1795" s="742"/>
      <c r="H1795" s="629"/>
      <c r="I1795" s="487"/>
      <c r="J1795" s="487"/>
      <c r="K1795" s="743">
        <v>9325000</v>
      </c>
      <c r="L1795" s="744" t="s">
        <v>84</v>
      </c>
      <c r="M1795" s="744" t="s">
        <v>287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606"/>
      <c r="AB1795" s="606"/>
      <c r="AC1795" s="606"/>
      <c r="AD1795" s="606"/>
    </row>
    <row r="1796" spans="1:30" ht="15.75" customHeight="1">
      <c r="A1796" s="204" t="str">
        <f>IF(B1796&lt;&gt;"",IF(AND(B1796&gt;=_TM1,B1796&lt;=_TM2,OR(TH!L1796="1111",TH!M1796="1111")),TH!D1796,""),"")</f>
        <v/>
      </c>
      <c r="B1796" s="36">
        <f t="shared" si="102"/>
        <v>12</v>
      </c>
      <c r="C1796" s="740">
        <f t="shared" si="103"/>
        <v>41274</v>
      </c>
      <c r="D1796" s="740" t="s">
        <v>367</v>
      </c>
      <c r="E1796" s="853">
        <v>41274</v>
      </c>
      <c r="F1796" s="741" t="s">
        <v>511</v>
      </c>
      <c r="G1796" s="742"/>
      <c r="H1796" s="629"/>
      <c r="I1796" s="487"/>
      <c r="J1796" s="487"/>
      <c r="K1796" s="743">
        <v>13450000</v>
      </c>
      <c r="L1796" s="744" t="s">
        <v>175</v>
      </c>
      <c r="M1796" s="744" t="s">
        <v>287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606"/>
      <c r="AB1796" s="606"/>
      <c r="AC1796" s="606"/>
      <c r="AD1796" s="606"/>
    </row>
    <row r="1797" spans="1:30" ht="15.75" customHeight="1">
      <c r="A1797" s="204" t="str">
        <f>IF(B1797&lt;&gt;"",IF(AND(B1797&gt;=_TM1,B1797&lt;=_TM2,OR(TH!L1797="1111",TH!M1797="1111")),TH!D1797,""),"")</f>
        <v>C32</v>
      </c>
      <c r="B1797" s="36">
        <f t="shared" si="102"/>
        <v>12</v>
      </c>
      <c r="C1797" s="740">
        <f t="shared" si="103"/>
        <v>41274</v>
      </c>
      <c r="D1797" s="740" t="s">
        <v>1664</v>
      </c>
      <c r="E1797" s="853">
        <v>41274</v>
      </c>
      <c r="F1797" s="741" t="str">
        <f>"Thanh toán tiền lương tháng "&amp;MONTH(E1797)&amp;"/"&amp;YEAR(E1797)</f>
        <v>Thanh toán tiền lương tháng 12/2012</v>
      </c>
      <c r="G1797" s="742"/>
      <c r="H1797" s="45" t="s">
        <v>684</v>
      </c>
      <c r="I1797" s="487"/>
      <c r="J1797" s="487"/>
      <c r="K1797" s="743">
        <f>K1795+K1796</f>
        <v>22775000</v>
      </c>
      <c r="L1797" s="744" t="s">
        <v>287</v>
      </c>
      <c r="M1797" s="744" t="s">
        <v>48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11"/>
      <c r="AB1797" s="606"/>
      <c r="AC1797" s="606"/>
      <c r="AD1797" s="606"/>
    </row>
    <row r="1798" spans="1:30" s="849" customFormat="1" ht="15.75" customHeight="1">
      <c r="A1798" s="204" t="str">
        <f>IF(B1798&lt;&gt;"",IF(AND(B1798&gt;=_TM1,B1798&lt;=_TM2,OR(TH!L1798="1111",TH!M1798="1111")),TH!D1798,""),"")</f>
        <v/>
      </c>
      <c r="B1798" s="732">
        <f t="shared" ref="B1798:B1841" si="104">IF(C1798&lt;&gt;"",MONTH(C1798),"")</f>
        <v>1</v>
      </c>
      <c r="C1798" s="48">
        <f t="shared" si="103"/>
        <v>40910</v>
      </c>
      <c r="D1798" s="48" t="s">
        <v>1701</v>
      </c>
      <c r="E1798" s="48">
        <v>40910</v>
      </c>
      <c r="F1798" s="49" t="s">
        <v>403</v>
      </c>
      <c r="G1798" s="49"/>
      <c r="H1798" s="909" t="s">
        <v>1700</v>
      </c>
      <c r="I1798" s="250">
        <v>50</v>
      </c>
      <c r="J1798" s="250">
        <v>25000</v>
      </c>
      <c r="K1798" s="51">
        <f>ROUND(I1798*J1798,0)</f>
        <v>1250000</v>
      </c>
      <c r="L1798" s="52" t="s">
        <v>175</v>
      </c>
      <c r="M1798" s="52" t="s">
        <v>171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>x</v>
      </c>
      <c r="Z1798" s="52" t="str">
        <f>IF(AND(B1798&lt;=NKC!$N$8,B1798&gt;=NKC!$M$8),"x","")</f>
        <v/>
      </c>
    </row>
    <row r="1799" spans="1:30" s="849" customFormat="1" ht="15.75" customHeight="1">
      <c r="A1799" s="204" t="str">
        <f>IF(B1799&lt;&gt;"",IF(AND(B1799&gt;=_TM1,B1799&lt;=_TM2,OR(TH!L1799="1111",TH!M1799="1111")),TH!D1799,""),"")</f>
        <v/>
      </c>
      <c r="B1799" s="732">
        <f t="shared" si="104"/>
        <v>1</v>
      </c>
      <c r="C1799" s="48">
        <f t="shared" ref="C1799:C1814" si="105">E1799</f>
        <v>40924</v>
      </c>
      <c r="D1799" s="48" t="s">
        <v>1702</v>
      </c>
      <c r="E1799" s="48">
        <v>40924</v>
      </c>
      <c r="F1799" s="49" t="s">
        <v>403</v>
      </c>
      <c r="G1799" s="49"/>
      <c r="H1799" s="909" t="s">
        <v>1700</v>
      </c>
      <c r="I1799" s="250">
        <v>50</v>
      </c>
      <c r="J1799" s="250">
        <v>25000</v>
      </c>
      <c r="K1799" s="51">
        <f t="shared" ref="K1799:K1811" si="106">ROUND(I1799*J1799,0)</f>
        <v>1250000</v>
      </c>
      <c r="L1799" s="52" t="s">
        <v>175</v>
      </c>
      <c r="M1799" s="52" t="s">
        <v>171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>x</v>
      </c>
      <c r="Z1799" s="52" t="str">
        <f>IF(AND(B1799&lt;=NKC!$N$8,B1799&gt;=NKC!$M$8),"x","")</f>
        <v/>
      </c>
    </row>
    <row r="1800" spans="1:30" s="849" customFormat="1" ht="15.75" customHeight="1">
      <c r="A1800" s="204" t="str">
        <f>IF(B1800&lt;&gt;"",IF(AND(B1800&gt;=_TM1,B1800&lt;=_TM2,OR(TH!L1800="1111",TH!M1800="1111")),TH!D1800,""),"")</f>
        <v/>
      </c>
      <c r="B1800" s="732">
        <f t="shared" si="104"/>
        <v>2</v>
      </c>
      <c r="C1800" s="48">
        <f t="shared" si="105"/>
        <v>40941</v>
      </c>
      <c r="D1800" s="48" t="s">
        <v>1703</v>
      </c>
      <c r="E1800" s="48">
        <v>40941</v>
      </c>
      <c r="F1800" s="49" t="s">
        <v>370</v>
      </c>
      <c r="G1800" s="49"/>
      <c r="H1800" s="909" t="s">
        <v>1700</v>
      </c>
      <c r="I1800" s="250">
        <v>48</v>
      </c>
      <c r="J1800" s="250">
        <v>42000</v>
      </c>
      <c r="K1800" s="51">
        <f t="shared" si="106"/>
        <v>2016000</v>
      </c>
      <c r="L1800" s="52" t="s">
        <v>175</v>
      </c>
      <c r="M1800" s="52" t="s">
        <v>171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30" s="849" customFormat="1" ht="15.75" customHeight="1">
      <c r="A1801" s="204" t="str">
        <f>IF(B1801&lt;&gt;"",IF(AND(B1801&gt;=_TM1,B1801&lt;=_TM2,OR(TH!L1801="1111",TH!M1801="1111")),TH!D1801,""),"")</f>
        <v/>
      </c>
      <c r="B1801" s="732">
        <f t="shared" si="104"/>
        <v>2</v>
      </c>
      <c r="C1801" s="48">
        <f t="shared" si="105"/>
        <v>40941</v>
      </c>
      <c r="D1801" s="48" t="s">
        <v>1703</v>
      </c>
      <c r="E1801" s="48">
        <v>40941</v>
      </c>
      <c r="F1801" s="49" t="s">
        <v>578</v>
      </c>
      <c r="G1801" s="49"/>
      <c r="H1801" s="909" t="s">
        <v>1700</v>
      </c>
      <c r="I1801" s="250"/>
      <c r="J1801" s="250"/>
      <c r="K1801" s="51">
        <f t="shared" si="106"/>
        <v>0</v>
      </c>
      <c r="L1801" s="52" t="s">
        <v>175</v>
      </c>
      <c r="M1801" s="52" t="s">
        <v>171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30" s="849" customFormat="1" ht="15.75" customHeight="1">
      <c r="A1802" s="204" t="str">
        <f>IF(B1802&lt;&gt;"",IF(AND(B1802&gt;=_TM1,B1802&lt;=_TM2,OR(TH!L1802="1111",TH!M1802="1111")),TH!D1802,""),"")</f>
        <v/>
      </c>
      <c r="B1802" s="732">
        <f t="shared" si="104"/>
        <v>4</v>
      </c>
      <c r="C1802" s="48">
        <f t="shared" si="105"/>
        <v>41000</v>
      </c>
      <c r="D1802" s="48" t="s">
        <v>1701</v>
      </c>
      <c r="E1802" s="48">
        <v>41000</v>
      </c>
      <c r="F1802" s="49" t="s">
        <v>403</v>
      </c>
      <c r="G1802" s="49"/>
      <c r="H1802" s="909" t="s">
        <v>1700</v>
      </c>
      <c r="I1802" s="250">
        <v>50</v>
      </c>
      <c r="J1802" s="250">
        <v>25000</v>
      </c>
      <c r="K1802" s="51">
        <f t="shared" si="106"/>
        <v>1250000</v>
      </c>
      <c r="L1802" s="52" t="s">
        <v>175</v>
      </c>
      <c r="M1802" s="52" t="s">
        <v>171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>154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>x</v>
      </c>
      <c r="Z1802" s="52" t="str">
        <f>IF(AND(B1802&lt;=NKC!$N$8,B1802&gt;=NKC!$M$8),"x","")</f>
        <v>x</v>
      </c>
    </row>
    <row r="1803" spans="1:30" s="849" customFormat="1" ht="15.75" customHeight="1">
      <c r="A1803" s="204" t="str">
        <f>IF(B1803&lt;&gt;"",IF(AND(B1803&gt;=_TM1,B1803&lt;=_TM2,OR(TH!L1803="1111",TH!M1803="1111")),TH!D1803,""),"")</f>
        <v/>
      </c>
      <c r="B1803" s="732">
        <f t="shared" si="104"/>
        <v>5</v>
      </c>
      <c r="C1803" s="48">
        <f t="shared" si="105"/>
        <v>41052</v>
      </c>
      <c r="D1803" s="48" t="s">
        <v>1702</v>
      </c>
      <c r="E1803" s="48">
        <v>41052</v>
      </c>
      <c r="F1803" s="49" t="s">
        <v>403</v>
      </c>
      <c r="G1803" s="49"/>
      <c r="H1803" s="909" t="s">
        <v>1700</v>
      </c>
      <c r="I1803" s="250">
        <v>50</v>
      </c>
      <c r="J1803" s="250">
        <v>25000</v>
      </c>
      <c r="K1803" s="51">
        <f t="shared" si="106"/>
        <v>1250000</v>
      </c>
      <c r="L1803" s="52" t="s">
        <v>175</v>
      </c>
      <c r="M1803" s="52" t="s">
        <v>171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>154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>x</v>
      </c>
      <c r="Z1803" s="52" t="str">
        <f>IF(AND(B1803&lt;=NKC!$N$8,B1803&gt;=NKC!$M$8),"x","")</f>
        <v>x</v>
      </c>
    </row>
    <row r="1804" spans="1:30" s="849" customFormat="1" ht="15.75" customHeight="1">
      <c r="A1804" s="204" t="str">
        <f>IF(B1804&lt;&gt;"",IF(AND(B1804&gt;=_TM1,B1804&lt;=_TM2,OR(TH!L1804="1111",TH!M1804="1111")),TH!D1804,""),"")</f>
        <v/>
      </c>
      <c r="B1804" s="732">
        <f t="shared" si="104"/>
        <v>5</v>
      </c>
      <c r="C1804" s="48">
        <f t="shared" si="105"/>
        <v>41054</v>
      </c>
      <c r="D1804" s="48" t="s">
        <v>1703</v>
      </c>
      <c r="E1804" s="48">
        <v>41054</v>
      </c>
      <c r="F1804" s="49" t="s">
        <v>370</v>
      </c>
      <c r="G1804" s="49"/>
      <c r="H1804" s="909" t="s">
        <v>1700</v>
      </c>
      <c r="I1804" s="250">
        <v>48</v>
      </c>
      <c r="J1804" s="250">
        <v>42000</v>
      </c>
      <c r="K1804" s="51">
        <f t="shared" si="106"/>
        <v>2016000</v>
      </c>
      <c r="L1804" s="52" t="s">
        <v>175</v>
      </c>
      <c r="M1804" s="52" t="s">
        <v>171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>154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</row>
    <row r="1805" spans="1:30" s="849" customFormat="1" ht="15.75" customHeight="1">
      <c r="A1805" s="204" t="str">
        <f>IF(B1805&lt;&gt;"",IF(AND(B1805&gt;=_TM1,B1805&lt;=_TM2,OR(TH!L1805="1111",TH!M1805="1111")),TH!D1805,""),"")</f>
        <v/>
      </c>
      <c r="B1805" s="732">
        <f t="shared" si="104"/>
        <v>5</v>
      </c>
      <c r="C1805" s="48">
        <f t="shared" si="105"/>
        <v>41060</v>
      </c>
      <c r="D1805" s="48" t="s">
        <v>1704</v>
      </c>
      <c r="E1805" s="48">
        <v>41060</v>
      </c>
      <c r="F1805" s="49" t="s">
        <v>742</v>
      </c>
      <c r="G1805" s="49"/>
      <c r="H1805" s="909" t="s">
        <v>1700</v>
      </c>
      <c r="I1805" s="250">
        <v>34707</v>
      </c>
      <c r="J1805" s="250">
        <v>250</v>
      </c>
      <c r="K1805" s="51">
        <f t="shared" si="106"/>
        <v>8676750</v>
      </c>
      <c r="L1805" s="52" t="s">
        <v>175</v>
      </c>
      <c r="M1805" s="52" t="s">
        <v>171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>154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</row>
    <row r="1806" spans="1:30" s="849" customFormat="1" ht="15.75" customHeight="1">
      <c r="A1806" s="204" t="str">
        <f>IF(B1806&lt;&gt;"",IF(AND(B1806&gt;=_TM1,B1806&lt;=_TM2,OR(TH!L1806="1111",TH!M1806="1111")),TH!D1806,""),"")</f>
        <v/>
      </c>
      <c r="B1806" s="732">
        <f t="shared" si="104"/>
        <v>4</v>
      </c>
      <c r="C1806" s="48">
        <f t="shared" si="105"/>
        <v>41000</v>
      </c>
      <c r="D1806" s="48" t="s">
        <v>1701</v>
      </c>
      <c r="E1806" s="48">
        <v>41000</v>
      </c>
      <c r="F1806" s="49" t="s">
        <v>578</v>
      </c>
      <c r="G1806" s="49"/>
      <c r="H1806" s="909" t="s">
        <v>1700</v>
      </c>
      <c r="I1806" s="250"/>
      <c r="J1806" s="250"/>
      <c r="K1806" s="51">
        <f t="shared" si="106"/>
        <v>0</v>
      </c>
      <c r="L1806" s="52" t="s">
        <v>175</v>
      </c>
      <c r="M1806" s="52" t="s">
        <v>171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>154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</row>
    <row r="1807" spans="1:30" s="849" customFormat="1" ht="15.75" customHeight="1">
      <c r="A1807" s="204" t="str">
        <f>IF(B1807&lt;&gt;"",IF(AND(B1807&gt;=_TM1,B1807&lt;=_TM2,OR(TH!L1807="1111",TH!M1807="1111")),TH!D1807,""),"")</f>
        <v/>
      </c>
      <c r="B1807" s="732">
        <f t="shared" si="104"/>
        <v>7</v>
      </c>
      <c r="C1807" s="48">
        <f t="shared" si="105"/>
        <v>41099</v>
      </c>
      <c r="D1807" s="48" t="s">
        <v>1701</v>
      </c>
      <c r="E1807" s="48">
        <v>41099</v>
      </c>
      <c r="F1807" s="49" t="s">
        <v>403</v>
      </c>
      <c r="G1807" s="49"/>
      <c r="H1807" s="909" t="s">
        <v>1700</v>
      </c>
      <c r="I1807" s="250">
        <v>100</v>
      </c>
      <c r="J1807" s="250">
        <v>25000</v>
      </c>
      <c r="K1807" s="51">
        <f t="shared" si="106"/>
        <v>2500000</v>
      </c>
      <c r="L1807" s="52" t="s">
        <v>175</v>
      </c>
      <c r="M1807" s="52" t="s">
        <v>171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>x</v>
      </c>
      <c r="Z1807" s="52" t="str">
        <f>IF(AND(B1807&lt;=NKC!$N$8,B1807&gt;=NKC!$M$8),"x","")</f>
        <v/>
      </c>
    </row>
    <row r="1808" spans="1:30" s="849" customFormat="1" ht="15.75" customHeight="1">
      <c r="A1808" s="204" t="str">
        <f>IF(B1808&lt;&gt;"",IF(AND(B1808&gt;=_TM1,B1808&lt;=_TM2,OR(TH!L1808="1111",TH!M1808="1111")),TH!D1808,""),"")</f>
        <v/>
      </c>
      <c r="B1808" s="732">
        <f t="shared" si="104"/>
        <v>7</v>
      </c>
      <c r="C1808" s="48">
        <f t="shared" si="105"/>
        <v>41099</v>
      </c>
      <c r="D1808" s="48" t="s">
        <v>1701</v>
      </c>
      <c r="E1808" s="48">
        <v>41099</v>
      </c>
      <c r="F1808" s="49" t="s">
        <v>370</v>
      </c>
      <c r="G1808" s="49"/>
      <c r="H1808" s="909" t="s">
        <v>1700</v>
      </c>
      <c r="I1808" s="250">
        <v>24</v>
      </c>
      <c r="J1808" s="250">
        <v>42000</v>
      </c>
      <c r="K1808" s="51">
        <f t="shared" si="106"/>
        <v>1008000</v>
      </c>
      <c r="L1808" s="52" t="s">
        <v>175</v>
      </c>
      <c r="M1808" s="52" t="s">
        <v>171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849" customFormat="1" ht="15.75" customHeight="1">
      <c r="A1809" s="204" t="str">
        <f>IF(B1809&lt;&gt;"",IF(AND(B1809&gt;=_TM1,B1809&lt;=_TM2,OR(TH!L1809="1111",TH!M1809="1111")),TH!D1809,""),"")</f>
        <v/>
      </c>
      <c r="B1809" s="732">
        <f t="shared" si="104"/>
        <v>8</v>
      </c>
      <c r="C1809" s="48">
        <f t="shared" si="105"/>
        <v>42583</v>
      </c>
      <c r="D1809" s="48" t="s">
        <v>1702</v>
      </c>
      <c r="E1809" s="48">
        <v>42583</v>
      </c>
      <c r="F1809" s="49" t="s">
        <v>742</v>
      </c>
      <c r="G1809" s="49"/>
      <c r="H1809" s="909" t="s">
        <v>1700</v>
      </c>
      <c r="I1809" s="250">
        <v>34707</v>
      </c>
      <c r="J1809" s="250">
        <v>250</v>
      </c>
      <c r="K1809" s="51">
        <f t="shared" si="106"/>
        <v>8676750</v>
      </c>
      <c r="L1809" s="52" t="s">
        <v>175</v>
      </c>
      <c r="M1809" s="52" t="s">
        <v>171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849" customFormat="1" ht="15.75" customHeight="1">
      <c r="A1810" s="204" t="str">
        <f>IF(B1810&lt;&gt;"",IF(AND(B1810&gt;=_TM1,B1810&lt;=_TM2,OR(TH!L1810="1111",TH!M1810="1111")),TH!D1810,""),"")</f>
        <v/>
      </c>
      <c r="B1810" s="732">
        <f t="shared" si="104"/>
        <v>8</v>
      </c>
      <c r="C1810" s="48">
        <f t="shared" si="105"/>
        <v>42583</v>
      </c>
      <c r="D1810" s="48" t="s">
        <v>1702</v>
      </c>
      <c r="E1810" s="48">
        <v>42583</v>
      </c>
      <c r="F1810" s="49" t="s">
        <v>578</v>
      </c>
      <c r="G1810" s="49"/>
      <c r="H1810" s="909" t="s">
        <v>1700</v>
      </c>
      <c r="I1810" s="250"/>
      <c r="J1810" s="250"/>
      <c r="K1810" s="51">
        <f t="shared" si="106"/>
        <v>0</v>
      </c>
      <c r="L1810" s="52" t="s">
        <v>175</v>
      </c>
      <c r="M1810" s="52" t="s">
        <v>171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849" customFormat="1" ht="15.75" customHeight="1">
      <c r="A1811" s="204" t="str">
        <f>IF(B1811&lt;&gt;"",IF(AND(B1811&gt;=_TM1,B1811&lt;=_TM2,OR(TH!L1811="1111",TH!M1811="1111")),TH!D1811,""),"")</f>
        <v/>
      </c>
      <c r="B1811" s="732">
        <f t="shared" si="104"/>
        <v>10</v>
      </c>
      <c r="C1811" s="48">
        <f t="shared" si="105"/>
        <v>41183</v>
      </c>
      <c r="D1811" s="48" t="s">
        <v>1701</v>
      </c>
      <c r="E1811" s="48">
        <v>41183</v>
      </c>
      <c r="F1811" s="49" t="s">
        <v>403</v>
      </c>
      <c r="G1811" s="49"/>
      <c r="H1811" s="909" t="s">
        <v>1700</v>
      </c>
      <c r="I1811" s="250">
        <v>100</v>
      </c>
      <c r="J1811" s="250">
        <v>25000</v>
      </c>
      <c r="K1811" s="51">
        <f t="shared" si="106"/>
        <v>2500000</v>
      </c>
      <c r="L1811" s="52" t="s">
        <v>175</v>
      </c>
      <c r="M1811" s="52" t="s">
        <v>171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>x</v>
      </c>
      <c r="Z1811" s="52" t="str">
        <f>IF(AND(B1811&lt;=NKC!$N$8,B1811&gt;=NKC!$M$8),"x","")</f>
        <v/>
      </c>
    </row>
    <row r="1812" spans="1:26" s="849" customFormat="1" ht="15.75" customHeight="1">
      <c r="A1812" s="204" t="str">
        <f>IF(B1812&lt;&gt;"",IF(AND(B1812&gt;=_TM1,B1812&lt;=_TM2,OR(TH!L1812="1111",TH!M1812="1111")),TH!D1812,""),"")</f>
        <v/>
      </c>
      <c r="B1812" s="732">
        <f t="shared" si="104"/>
        <v>11</v>
      </c>
      <c r="C1812" s="48">
        <f t="shared" si="105"/>
        <v>41235</v>
      </c>
      <c r="D1812" s="48" t="s">
        <v>1702</v>
      </c>
      <c r="E1812" s="48">
        <v>41235</v>
      </c>
      <c r="F1812" s="49" t="s">
        <v>370</v>
      </c>
      <c r="G1812" s="49"/>
      <c r="H1812" s="909" t="s">
        <v>1700</v>
      </c>
      <c r="I1812" s="250">
        <v>48</v>
      </c>
      <c r="J1812" s="250">
        <v>42000</v>
      </c>
      <c r="K1812" s="51">
        <f t="shared" ref="K1812:K1814" si="107">ROUND(I1812*J1812,0)</f>
        <v>2016000</v>
      </c>
      <c r="L1812" s="52" t="s">
        <v>175</v>
      </c>
      <c r="M1812" s="52" t="s">
        <v>171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849" customFormat="1" ht="15.75" customHeight="1">
      <c r="A1813" s="204" t="str">
        <f>IF(B1813&lt;&gt;"",IF(AND(B1813&gt;=_TM1,B1813&lt;=_TM2,OR(TH!L1813="1111",TH!M1813="1111")),TH!D1813,""),"")</f>
        <v/>
      </c>
      <c r="B1813" s="732">
        <f t="shared" si="104"/>
        <v>10</v>
      </c>
      <c r="C1813" s="48">
        <f t="shared" si="105"/>
        <v>41183</v>
      </c>
      <c r="D1813" s="48" t="s">
        <v>1701</v>
      </c>
      <c r="E1813" s="48">
        <v>41183</v>
      </c>
      <c r="F1813" s="49" t="s">
        <v>742</v>
      </c>
      <c r="G1813" s="49"/>
      <c r="H1813" s="909" t="s">
        <v>1700</v>
      </c>
      <c r="I1813" s="250">
        <v>34707</v>
      </c>
      <c r="J1813" s="250">
        <v>250</v>
      </c>
      <c r="K1813" s="51">
        <f t="shared" si="107"/>
        <v>8676750</v>
      </c>
      <c r="L1813" s="52" t="s">
        <v>175</v>
      </c>
      <c r="M1813" s="52" t="s">
        <v>171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849" customFormat="1" ht="15.75" customHeight="1">
      <c r="A1814" s="204" t="str">
        <f>IF(B1814&lt;&gt;"",IF(AND(B1814&gt;=_TM1,B1814&lt;=_TM2,OR(TH!L1814="1111",TH!M1814="1111")),TH!D1814,""),"")</f>
        <v/>
      </c>
      <c r="B1814" s="732">
        <f t="shared" si="104"/>
        <v>10</v>
      </c>
      <c r="C1814" s="48">
        <f t="shared" si="105"/>
        <v>41183</v>
      </c>
      <c r="D1814" s="48" t="s">
        <v>1701</v>
      </c>
      <c r="E1814" s="48">
        <v>41183</v>
      </c>
      <c r="F1814" s="49" t="s">
        <v>578</v>
      </c>
      <c r="G1814" s="49"/>
      <c r="H1814" s="909" t="s">
        <v>1700</v>
      </c>
      <c r="I1814" s="250"/>
      <c r="J1814" s="250"/>
      <c r="K1814" s="51">
        <f t="shared" si="107"/>
        <v>0</v>
      </c>
      <c r="L1814" s="52" t="s">
        <v>175</v>
      </c>
      <c r="M1814" s="52" t="s">
        <v>171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04"/>
        <v>1</v>
      </c>
      <c r="C1815" s="37">
        <f>E1815</f>
        <v>40912</v>
      </c>
      <c r="D1815" s="37" t="s">
        <v>1707</v>
      </c>
      <c r="E1815" s="37">
        <v>40912</v>
      </c>
      <c r="F1815" s="189" t="s">
        <v>1257</v>
      </c>
      <c r="G1815" s="40" t="s">
        <v>1477</v>
      </c>
      <c r="H1815" s="7" t="s">
        <v>1700</v>
      </c>
      <c r="I1815" s="252">
        <v>32</v>
      </c>
      <c r="J1815" s="252">
        <v>32728</v>
      </c>
      <c r="K1815" s="38">
        <f t="shared" ref="K1815" si="108">ROUND(I1815*J1815,0)</f>
        <v>1047296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04"/>
        <v>1</v>
      </c>
      <c r="C1816" s="37">
        <f t="shared" ref="C1816:C1879" si="109">E1816</f>
        <v>40912</v>
      </c>
      <c r="D1816" s="37" t="s">
        <v>1707</v>
      </c>
      <c r="E1816" s="37">
        <v>40912</v>
      </c>
      <c r="F1816" s="297" t="s">
        <v>1249</v>
      </c>
      <c r="G1816" s="40" t="s">
        <v>1477</v>
      </c>
      <c r="H1816" s="7" t="s">
        <v>1700</v>
      </c>
      <c r="I1816" s="252">
        <v>35</v>
      </c>
      <c r="J1816" s="252">
        <v>31451</v>
      </c>
      <c r="K1816" s="38">
        <f t="shared" ref="K1816:K1879" si="110">ROUND(I1816*J1816,0)</f>
        <v>1100785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04"/>
        <v>1</v>
      </c>
      <c r="C1817" s="37">
        <f t="shared" si="109"/>
        <v>40912</v>
      </c>
      <c r="D1817" s="37" t="s">
        <v>1707</v>
      </c>
      <c r="E1817" s="37">
        <v>40912</v>
      </c>
      <c r="F1817" s="189" t="s">
        <v>1257</v>
      </c>
      <c r="G1817" s="40" t="s">
        <v>1477</v>
      </c>
      <c r="H1817" s="7" t="s">
        <v>1700</v>
      </c>
      <c r="I1817" s="252">
        <v>36</v>
      </c>
      <c r="J1817" s="252">
        <v>32728</v>
      </c>
      <c r="K1817" s="38">
        <f t="shared" si="110"/>
        <v>1178208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04"/>
        <v>1</v>
      </c>
      <c r="C1818" s="37">
        <f t="shared" si="109"/>
        <v>40912</v>
      </c>
      <c r="D1818" s="37" t="s">
        <v>1707</v>
      </c>
      <c r="E1818" s="37">
        <v>40912</v>
      </c>
      <c r="F1818" s="189" t="s">
        <v>1257</v>
      </c>
      <c r="G1818" s="40" t="s">
        <v>1477</v>
      </c>
      <c r="H1818" s="7" t="s">
        <v>1700</v>
      </c>
      <c r="I1818" s="252">
        <v>47</v>
      </c>
      <c r="J1818" s="252">
        <v>32728</v>
      </c>
      <c r="K1818" s="38">
        <f t="shared" si="110"/>
        <v>1538216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04"/>
        <v>1</v>
      </c>
      <c r="C1819" s="37">
        <f t="shared" si="109"/>
        <v>40912</v>
      </c>
      <c r="D1819" s="37" t="s">
        <v>1707</v>
      </c>
      <c r="E1819" s="37">
        <v>40912</v>
      </c>
      <c r="F1819" s="189" t="s">
        <v>1245</v>
      </c>
      <c r="G1819" s="40" t="s">
        <v>1477</v>
      </c>
      <c r="H1819" s="7" t="s">
        <v>1700</v>
      </c>
      <c r="I1819" s="252">
        <v>100</v>
      </c>
      <c r="J1819" s="252">
        <v>25616</v>
      </c>
      <c r="K1819" s="38">
        <f t="shared" si="110"/>
        <v>2561600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04"/>
        <v>1</v>
      </c>
      <c r="C1820" s="37">
        <f t="shared" si="109"/>
        <v>40912</v>
      </c>
      <c r="D1820" s="37" t="s">
        <v>1707</v>
      </c>
      <c r="E1820" s="37">
        <v>40912</v>
      </c>
      <c r="F1820" s="189" t="s">
        <v>1253</v>
      </c>
      <c r="G1820" s="40" t="s">
        <v>924</v>
      </c>
      <c r="H1820" s="7" t="s">
        <v>1700</v>
      </c>
      <c r="I1820" s="252">
        <v>100</v>
      </c>
      <c r="J1820" s="252">
        <v>22897</v>
      </c>
      <c r="K1820" s="38">
        <f t="shared" si="110"/>
        <v>2289700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04"/>
        <v>1</v>
      </c>
      <c r="C1821" s="37">
        <f t="shared" si="109"/>
        <v>40912</v>
      </c>
      <c r="D1821" s="37" t="s">
        <v>1707</v>
      </c>
      <c r="E1821" s="37">
        <v>40912</v>
      </c>
      <c r="F1821" s="192" t="s">
        <v>670</v>
      </c>
      <c r="G1821" s="40" t="s">
        <v>924</v>
      </c>
      <c r="H1821" s="7" t="s">
        <v>1700</v>
      </c>
      <c r="I1821" s="252">
        <v>8</v>
      </c>
      <c r="J1821" s="252">
        <v>8555</v>
      </c>
      <c r="K1821" s="38">
        <f t="shared" si="110"/>
        <v>68440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04"/>
        <v>1</v>
      </c>
      <c r="C1822" s="37">
        <f t="shared" si="109"/>
        <v>40912</v>
      </c>
      <c r="D1822" s="37" t="s">
        <v>1707</v>
      </c>
      <c r="E1822" s="37">
        <v>40912</v>
      </c>
      <c r="F1822" s="189" t="s">
        <v>1257</v>
      </c>
      <c r="G1822" s="40" t="s">
        <v>924</v>
      </c>
      <c r="H1822" s="7" t="s">
        <v>1700</v>
      </c>
      <c r="I1822" s="252">
        <v>125</v>
      </c>
      <c r="J1822" s="252">
        <v>32728</v>
      </c>
      <c r="K1822" s="38">
        <f t="shared" si="110"/>
        <v>4091000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04"/>
        <v>1</v>
      </c>
      <c r="C1823" s="37">
        <f t="shared" si="109"/>
        <v>40912</v>
      </c>
      <c r="D1823" s="37" t="s">
        <v>1707</v>
      </c>
      <c r="E1823" s="37">
        <v>40912</v>
      </c>
      <c r="F1823" s="297" t="s">
        <v>1366</v>
      </c>
      <c r="G1823" s="40" t="s">
        <v>924</v>
      </c>
      <c r="H1823" s="7" t="s">
        <v>1700</v>
      </c>
      <c r="I1823" s="252">
        <v>24</v>
      </c>
      <c r="J1823" s="252">
        <v>8768</v>
      </c>
      <c r="K1823" s="38">
        <f t="shared" si="110"/>
        <v>210432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04"/>
        <v>1</v>
      </c>
      <c r="C1824" s="37">
        <f t="shared" si="109"/>
        <v>40912</v>
      </c>
      <c r="D1824" s="37" t="s">
        <v>1707</v>
      </c>
      <c r="E1824" s="37">
        <v>40912</v>
      </c>
      <c r="F1824" s="189" t="s">
        <v>653</v>
      </c>
      <c r="G1824" s="40" t="s">
        <v>924</v>
      </c>
      <c r="H1824" s="7" t="s">
        <v>1700</v>
      </c>
      <c r="I1824" s="252">
        <v>900</v>
      </c>
      <c r="J1824" s="252">
        <v>571</v>
      </c>
      <c r="K1824" s="38">
        <f t="shared" si="110"/>
        <v>513900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04"/>
        <v>1</v>
      </c>
      <c r="C1825" s="37">
        <f t="shared" si="109"/>
        <v>40914</v>
      </c>
      <c r="D1825" s="37" t="s">
        <v>1708</v>
      </c>
      <c r="E1825" s="37">
        <v>40914</v>
      </c>
      <c r="F1825" s="189" t="s">
        <v>1252</v>
      </c>
      <c r="G1825" s="40" t="s">
        <v>926</v>
      </c>
      <c r="H1825" s="7" t="s">
        <v>1700</v>
      </c>
      <c r="I1825" s="252">
        <v>500</v>
      </c>
      <c r="J1825" s="252">
        <v>30158</v>
      </c>
      <c r="K1825" s="38">
        <f t="shared" si="110"/>
        <v>15079000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04"/>
        <v>1</v>
      </c>
      <c r="C1826" s="37">
        <f t="shared" si="109"/>
        <v>40914</v>
      </c>
      <c r="D1826" s="37" t="s">
        <v>1708</v>
      </c>
      <c r="E1826" s="37">
        <v>40914</v>
      </c>
      <c r="F1826" s="189" t="s">
        <v>630</v>
      </c>
      <c r="G1826" s="40" t="s">
        <v>928</v>
      </c>
      <c r="H1826" s="7" t="s">
        <v>1700</v>
      </c>
      <c r="I1826" s="252">
        <v>244</v>
      </c>
      <c r="J1826" s="252">
        <v>30836</v>
      </c>
      <c r="K1826" s="38">
        <f t="shared" si="110"/>
        <v>7523984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04"/>
        <v>1</v>
      </c>
      <c r="C1827" s="37">
        <f t="shared" si="109"/>
        <v>40915</v>
      </c>
      <c r="D1827" s="37" t="s">
        <v>1709</v>
      </c>
      <c r="E1827" s="37">
        <v>40915</v>
      </c>
      <c r="F1827" s="189" t="s">
        <v>1260</v>
      </c>
      <c r="G1827" s="40" t="s">
        <v>929</v>
      </c>
      <c r="H1827" s="7" t="s">
        <v>1700</v>
      </c>
      <c r="I1827" s="252">
        <v>255</v>
      </c>
      <c r="J1827" s="252">
        <v>32878</v>
      </c>
      <c r="K1827" s="38">
        <f t="shared" si="110"/>
        <v>8383890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04"/>
        <v>1</v>
      </c>
      <c r="C1828" s="37">
        <f t="shared" si="109"/>
        <v>40919</v>
      </c>
      <c r="D1828" s="37" t="s">
        <v>1710</v>
      </c>
      <c r="E1828" s="37">
        <v>40919</v>
      </c>
      <c r="F1828" s="189" t="s">
        <v>1379</v>
      </c>
      <c r="G1828" s="40" t="s">
        <v>930</v>
      </c>
      <c r="H1828" s="7" t="s">
        <v>1700</v>
      </c>
      <c r="I1828" s="252">
        <v>100</v>
      </c>
      <c r="J1828" s="252">
        <v>14729</v>
      </c>
      <c r="K1828" s="38">
        <f t="shared" si="110"/>
        <v>1472900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04"/>
        <v>1</v>
      </c>
      <c r="C1829" s="37">
        <f t="shared" si="109"/>
        <v>40919</v>
      </c>
      <c r="D1829" s="37" t="s">
        <v>1710</v>
      </c>
      <c r="E1829" s="37">
        <v>40919</v>
      </c>
      <c r="F1829" s="297" t="s">
        <v>1366</v>
      </c>
      <c r="G1829" s="40" t="s">
        <v>930</v>
      </c>
      <c r="H1829" s="7" t="s">
        <v>1700</v>
      </c>
      <c r="I1829" s="252">
        <v>102</v>
      </c>
      <c r="J1829" s="252">
        <v>8768</v>
      </c>
      <c r="K1829" s="38">
        <f t="shared" si="110"/>
        <v>894336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04"/>
        <v>1</v>
      </c>
      <c r="C1830" s="37">
        <f t="shared" si="109"/>
        <v>40919</v>
      </c>
      <c r="D1830" s="37" t="s">
        <v>1710</v>
      </c>
      <c r="E1830" s="37">
        <v>40919</v>
      </c>
      <c r="F1830" s="189" t="s">
        <v>1244</v>
      </c>
      <c r="G1830" s="40" t="s">
        <v>930</v>
      </c>
      <c r="H1830" s="7" t="s">
        <v>1700</v>
      </c>
      <c r="I1830" s="252">
        <v>420</v>
      </c>
      <c r="J1830" s="252">
        <v>17139</v>
      </c>
      <c r="K1830" s="38">
        <f t="shared" si="110"/>
        <v>7198380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04"/>
        <v>1</v>
      </c>
      <c r="C1831" s="37">
        <f t="shared" si="109"/>
        <v>40919</v>
      </c>
      <c r="D1831" s="37" t="s">
        <v>1710</v>
      </c>
      <c r="E1831" s="37">
        <v>40919</v>
      </c>
      <c r="F1831" s="192" t="s">
        <v>657</v>
      </c>
      <c r="G1831" s="40" t="s">
        <v>930</v>
      </c>
      <c r="H1831" s="7" t="s">
        <v>1700</v>
      </c>
      <c r="I1831" s="252">
        <v>105</v>
      </c>
      <c r="J1831" s="252">
        <v>23373</v>
      </c>
      <c r="K1831" s="38">
        <f t="shared" si="110"/>
        <v>2454165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04"/>
        <v>1</v>
      </c>
      <c r="C1832" s="37">
        <f t="shared" si="109"/>
        <v>40921</v>
      </c>
      <c r="D1832" s="37" t="s">
        <v>1711</v>
      </c>
      <c r="E1832" s="37">
        <v>40921</v>
      </c>
      <c r="F1832" s="297" t="s">
        <v>1249</v>
      </c>
      <c r="G1832" s="40" t="s">
        <v>931</v>
      </c>
      <c r="H1832" s="7" t="s">
        <v>1700</v>
      </c>
      <c r="I1832" s="252">
        <v>5</v>
      </c>
      <c r="J1832" s="252">
        <v>31451</v>
      </c>
      <c r="K1832" s="38">
        <f t="shared" si="110"/>
        <v>157255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04"/>
        <v>1</v>
      </c>
      <c r="C1833" s="37">
        <f t="shared" si="109"/>
        <v>40921</v>
      </c>
      <c r="D1833" s="37" t="s">
        <v>1711</v>
      </c>
      <c r="E1833" s="37">
        <v>40921</v>
      </c>
      <c r="F1833" s="189" t="s">
        <v>617</v>
      </c>
      <c r="G1833" s="40" t="s">
        <v>931</v>
      </c>
      <c r="H1833" s="7" t="s">
        <v>1700</v>
      </c>
      <c r="I1833" s="252">
        <v>1</v>
      </c>
      <c r="J1833" s="252">
        <v>15385</v>
      </c>
      <c r="K1833" s="38">
        <f t="shared" si="110"/>
        <v>15385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04"/>
        <v>1</v>
      </c>
      <c r="C1834" s="37">
        <f t="shared" si="109"/>
        <v>40921</v>
      </c>
      <c r="D1834" s="37" t="s">
        <v>1711</v>
      </c>
      <c r="E1834" s="37">
        <v>40921</v>
      </c>
      <c r="F1834" s="189" t="s">
        <v>1260</v>
      </c>
      <c r="G1834" s="40" t="s">
        <v>931</v>
      </c>
      <c r="H1834" s="7" t="s">
        <v>1700</v>
      </c>
      <c r="I1834" s="252">
        <v>95</v>
      </c>
      <c r="J1834" s="252">
        <v>32878</v>
      </c>
      <c r="K1834" s="38">
        <f t="shared" si="110"/>
        <v>3123410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04"/>
        <v>1</v>
      </c>
      <c r="C1835" s="37">
        <f t="shared" si="109"/>
        <v>40921</v>
      </c>
      <c r="D1835" s="37" t="s">
        <v>1711</v>
      </c>
      <c r="E1835" s="37">
        <v>40921</v>
      </c>
      <c r="F1835" s="189" t="s">
        <v>1252</v>
      </c>
      <c r="G1835" s="40" t="s">
        <v>931</v>
      </c>
      <c r="H1835" s="7" t="s">
        <v>1700</v>
      </c>
      <c r="I1835" s="252">
        <v>180</v>
      </c>
      <c r="J1835" s="252">
        <v>30158</v>
      </c>
      <c r="K1835" s="38">
        <f t="shared" si="110"/>
        <v>5428440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>
        <f t="shared" si="104"/>
        <v>1</v>
      </c>
      <c r="C1836" s="37">
        <f t="shared" si="109"/>
        <v>40921</v>
      </c>
      <c r="D1836" s="37" t="s">
        <v>1711</v>
      </c>
      <c r="E1836" s="37">
        <v>40921</v>
      </c>
      <c r="F1836" s="297" t="s">
        <v>1366</v>
      </c>
      <c r="G1836" s="40" t="s">
        <v>931</v>
      </c>
      <c r="H1836" s="7" t="s">
        <v>1700</v>
      </c>
      <c r="I1836" s="252">
        <v>21</v>
      </c>
      <c r="J1836" s="252">
        <v>8768</v>
      </c>
      <c r="K1836" s="38">
        <f t="shared" si="110"/>
        <v>184128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04"/>
        <v>1</v>
      </c>
      <c r="C1837" s="37">
        <f t="shared" si="109"/>
        <v>40921</v>
      </c>
      <c r="D1837" s="37" t="s">
        <v>1711</v>
      </c>
      <c r="E1837" s="37">
        <v>40921</v>
      </c>
      <c r="F1837" s="297" t="s">
        <v>1366</v>
      </c>
      <c r="G1837" s="40" t="s">
        <v>931</v>
      </c>
      <c r="H1837" s="7" t="s">
        <v>1700</v>
      </c>
      <c r="I1837" s="252">
        <v>18</v>
      </c>
      <c r="J1837" s="252">
        <v>8768</v>
      </c>
      <c r="K1837" s="38">
        <f t="shared" si="110"/>
        <v>157824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04"/>
        <v>1</v>
      </c>
      <c r="C1838" s="37">
        <f t="shared" si="109"/>
        <v>40922</v>
      </c>
      <c r="D1838" s="37" t="s">
        <v>1712</v>
      </c>
      <c r="E1838" s="37">
        <v>40922</v>
      </c>
      <c r="F1838" s="189" t="s">
        <v>1373</v>
      </c>
      <c r="G1838" s="40" t="s">
        <v>1547</v>
      </c>
      <c r="H1838" s="7" t="s">
        <v>1700</v>
      </c>
      <c r="I1838" s="252">
        <v>55</v>
      </c>
      <c r="J1838" s="252">
        <v>19567</v>
      </c>
      <c r="K1838" s="38">
        <f t="shared" si="110"/>
        <v>1076185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04"/>
        <v>1</v>
      </c>
      <c r="C1839" s="37">
        <f t="shared" si="109"/>
        <v>40922</v>
      </c>
      <c r="D1839" s="37" t="s">
        <v>1712</v>
      </c>
      <c r="E1839" s="37">
        <v>40922</v>
      </c>
      <c r="F1839" s="189" t="s">
        <v>1371</v>
      </c>
      <c r="G1839" s="40" t="s">
        <v>1547</v>
      </c>
      <c r="H1839" s="7" t="s">
        <v>1700</v>
      </c>
      <c r="I1839" s="252">
        <v>45</v>
      </c>
      <c r="J1839" s="252">
        <v>20362</v>
      </c>
      <c r="K1839" s="38">
        <f t="shared" si="110"/>
        <v>916290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04"/>
        <v>1</v>
      </c>
      <c r="C1840" s="37">
        <f t="shared" si="109"/>
        <v>40922</v>
      </c>
      <c r="D1840" s="37" t="s">
        <v>1712</v>
      </c>
      <c r="E1840" s="37">
        <v>40922</v>
      </c>
      <c r="F1840" s="192" t="s">
        <v>670</v>
      </c>
      <c r="G1840" s="40" t="s">
        <v>1547</v>
      </c>
      <c r="H1840" s="7" t="s">
        <v>1700</v>
      </c>
      <c r="I1840" s="252">
        <v>26</v>
      </c>
      <c r="J1840" s="252">
        <v>8555</v>
      </c>
      <c r="K1840" s="38">
        <f t="shared" si="110"/>
        <v>222430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customHeight="1">
      <c r="A1841" s="204" t="str">
        <f>IF(B1841&lt;&gt;"",IF(AND(B1841&gt;=_TM1,B1841&lt;=_TM2,OR(TH!L1841="1111",TH!M1841="1111")),TH!D1841,""),"")</f>
        <v/>
      </c>
      <c r="B1841" s="36">
        <f t="shared" si="104"/>
        <v>1</v>
      </c>
      <c r="C1841" s="37">
        <f t="shared" si="109"/>
        <v>40922</v>
      </c>
      <c r="D1841" s="37" t="s">
        <v>1712</v>
      </c>
      <c r="E1841" s="37">
        <v>40922</v>
      </c>
      <c r="F1841" s="189" t="s">
        <v>1372</v>
      </c>
      <c r="G1841" s="40" t="s">
        <v>1547</v>
      </c>
      <c r="H1841" s="7" t="s">
        <v>1700</v>
      </c>
      <c r="I1841" s="252">
        <v>116</v>
      </c>
      <c r="J1841" s="252">
        <v>22348</v>
      </c>
      <c r="K1841" s="38">
        <f t="shared" si="110"/>
        <v>2592368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customHeight="1">
      <c r="A1842" s="204" t="str">
        <f>IF(B1842&lt;&gt;"",IF(AND(B1842&gt;=_TM1,B1842&lt;=_TM2,OR(TH!L1842="1111",TH!M1842="1111")),TH!D1842,""),"")</f>
        <v/>
      </c>
      <c r="B1842" s="36">
        <f t="shared" ref="B1842:B1858" si="111">IF(C1842&lt;&gt;"",MONTH(C1842),"")</f>
        <v>1</v>
      </c>
      <c r="C1842" s="37">
        <f t="shared" si="109"/>
        <v>40922</v>
      </c>
      <c r="D1842" s="37" t="s">
        <v>1712</v>
      </c>
      <c r="E1842" s="37">
        <v>40922</v>
      </c>
      <c r="F1842" s="192" t="s">
        <v>670</v>
      </c>
      <c r="G1842" s="40" t="s">
        <v>1547</v>
      </c>
      <c r="H1842" s="7" t="s">
        <v>1700</v>
      </c>
      <c r="I1842" s="252">
        <v>20</v>
      </c>
      <c r="J1842" s="252">
        <v>8555</v>
      </c>
      <c r="K1842" s="38">
        <f t="shared" si="110"/>
        <v>171100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customHeight="1">
      <c r="A1843" s="204" t="str">
        <f>IF(B1843&lt;&gt;"",IF(AND(B1843&gt;=_TM1,B1843&lt;=_TM2,OR(TH!L1843="1111",TH!M1843="1111")),TH!D1843,""),"")</f>
        <v/>
      </c>
      <c r="B1843" s="36">
        <f t="shared" si="111"/>
        <v>1</v>
      </c>
      <c r="C1843" s="37">
        <f t="shared" si="109"/>
        <v>40922</v>
      </c>
      <c r="D1843" s="37" t="s">
        <v>1712</v>
      </c>
      <c r="E1843" s="37">
        <v>40922</v>
      </c>
      <c r="F1843" s="189" t="s">
        <v>1371</v>
      </c>
      <c r="G1843" s="40" t="s">
        <v>1547</v>
      </c>
      <c r="H1843" s="7" t="s">
        <v>1700</v>
      </c>
      <c r="I1843" s="252">
        <v>50</v>
      </c>
      <c r="J1843" s="252">
        <v>20362</v>
      </c>
      <c r="K1843" s="38">
        <f t="shared" si="110"/>
        <v>1018100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customHeight="1">
      <c r="A1844" s="204" t="str">
        <f>IF(B1844&lt;&gt;"",IF(AND(B1844&gt;=_TM1,B1844&lt;=_TM2,OR(TH!L1844="1111",TH!M1844="1111")),TH!D1844,""),"")</f>
        <v/>
      </c>
      <c r="B1844" s="36">
        <f t="shared" si="111"/>
        <v>1</v>
      </c>
      <c r="C1844" s="37">
        <f t="shared" si="109"/>
        <v>40922</v>
      </c>
      <c r="D1844" s="37" t="s">
        <v>1712</v>
      </c>
      <c r="E1844" s="37">
        <v>40922</v>
      </c>
      <c r="F1844" s="189" t="s">
        <v>1371</v>
      </c>
      <c r="G1844" s="40" t="s">
        <v>1547</v>
      </c>
      <c r="H1844" s="7" t="s">
        <v>1700</v>
      </c>
      <c r="I1844" s="252">
        <v>80</v>
      </c>
      <c r="J1844" s="252">
        <v>20362</v>
      </c>
      <c r="K1844" s="38">
        <f t="shared" si="110"/>
        <v>1628960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customHeight="1">
      <c r="A1845" s="204" t="str">
        <f>IF(B1845&lt;&gt;"",IF(AND(B1845&gt;=_TM1,B1845&lt;=_TM2,OR(TH!L1845="1111",TH!M1845="1111")),TH!D1845,""),"")</f>
        <v/>
      </c>
      <c r="B1845" s="36">
        <f t="shared" si="111"/>
        <v>1</v>
      </c>
      <c r="C1845" s="37">
        <f t="shared" si="109"/>
        <v>40922</v>
      </c>
      <c r="D1845" s="37" t="s">
        <v>1712</v>
      </c>
      <c r="E1845" s="37">
        <v>40922</v>
      </c>
      <c r="F1845" s="189" t="s">
        <v>1373</v>
      </c>
      <c r="G1845" s="40" t="s">
        <v>1547</v>
      </c>
      <c r="H1845" s="7" t="s">
        <v>1700</v>
      </c>
      <c r="I1845" s="252">
        <v>25</v>
      </c>
      <c r="J1845" s="252">
        <v>19567</v>
      </c>
      <c r="K1845" s="38">
        <f t="shared" si="110"/>
        <v>489175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customHeight="1">
      <c r="A1846" s="204" t="str">
        <f>IF(B1846&lt;&gt;"",IF(AND(B1846&gt;=_TM1,B1846&lt;=_TM2,OR(TH!L1846="1111",TH!M1846="1111")),TH!D1846,""),"")</f>
        <v/>
      </c>
      <c r="B1846" s="36">
        <f t="shared" si="111"/>
        <v>1</v>
      </c>
      <c r="C1846" s="37">
        <f t="shared" si="109"/>
        <v>40922</v>
      </c>
      <c r="D1846" s="37" t="s">
        <v>1712</v>
      </c>
      <c r="E1846" s="37">
        <v>40922</v>
      </c>
      <c r="F1846" s="192" t="s">
        <v>628</v>
      </c>
      <c r="G1846" s="40" t="s">
        <v>1547</v>
      </c>
      <c r="H1846" s="7" t="s">
        <v>1700</v>
      </c>
      <c r="I1846" s="252">
        <v>140</v>
      </c>
      <c r="J1846" s="252">
        <v>16128</v>
      </c>
      <c r="K1846" s="38">
        <f t="shared" si="110"/>
        <v>2257920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customHeight="1">
      <c r="A1847" s="204" t="str">
        <f>IF(B1847&lt;&gt;"",IF(AND(B1847&gt;=_TM1,B1847&lt;=_TM2,OR(TH!L1847="1111",TH!M1847="1111")),TH!D1847,""),"")</f>
        <v/>
      </c>
      <c r="B1847" s="36">
        <f t="shared" si="111"/>
        <v>1</v>
      </c>
      <c r="C1847" s="37">
        <f t="shared" si="109"/>
        <v>40922</v>
      </c>
      <c r="D1847" s="37" t="s">
        <v>1712</v>
      </c>
      <c r="E1847" s="37">
        <v>40922</v>
      </c>
      <c r="F1847" s="189" t="s">
        <v>1255</v>
      </c>
      <c r="G1847" s="40" t="s">
        <v>1547</v>
      </c>
      <c r="H1847" s="7" t="s">
        <v>1700</v>
      </c>
      <c r="I1847" s="252">
        <v>110</v>
      </c>
      <c r="J1847" s="252">
        <v>24566</v>
      </c>
      <c r="K1847" s="38">
        <f t="shared" si="110"/>
        <v>2702260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customHeight="1">
      <c r="A1848" s="204" t="str">
        <f>IF(B1848&lt;&gt;"",IF(AND(B1848&gt;=_TM1,B1848&lt;=_TM2,OR(TH!L1848="1111",TH!M1848="1111")),TH!D1848,""),"")</f>
        <v/>
      </c>
      <c r="B1848" s="36">
        <f t="shared" si="111"/>
        <v>1</v>
      </c>
      <c r="C1848" s="37">
        <f t="shared" si="109"/>
        <v>40923</v>
      </c>
      <c r="D1848" s="37" t="s">
        <v>1713</v>
      </c>
      <c r="E1848" s="37">
        <v>40923</v>
      </c>
      <c r="F1848" s="189" t="s">
        <v>649</v>
      </c>
      <c r="G1848" s="40" t="s">
        <v>1549</v>
      </c>
      <c r="H1848" s="7" t="s">
        <v>1700</v>
      </c>
      <c r="I1848" s="252">
        <v>169</v>
      </c>
      <c r="J1848" s="252">
        <v>19080</v>
      </c>
      <c r="K1848" s="38">
        <f t="shared" si="110"/>
        <v>3224520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customHeight="1">
      <c r="A1849" s="204" t="str">
        <f>IF(B1849&lt;&gt;"",IF(AND(B1849&gt;=_TM1,B1849&lt;=_TM2,OR(TH!L1849="1111",TH!M1849="1111")),TH!D1849,""),"")</f>
        <v/>
      </c>
      <c r="B1849" s="36">
        <f t="shared" si="111"/>
        <v>1</v>
      </c>
      <c r="C1849" s="37">
        <f t="shared" si="109"/>
        <v>40923</v>
      </c>
      <c r="D1849" s="37" t="s">
        <v>1713</v>
      </c>
      <c r="E1849" s="37">
        <v>40923</v>
      </c>
      <c r="F1849" s="192" t="s">
        <v>660</v>
      </c>
      <c r="G1849" s="40" t="s">
        <v>1549</v>
      </c>
      <c r="H1849" s="7" t="s">
        <v>1700</v>
      </c>
      <c r="I1849" s="252">
        <v>263</v>
      </c>
      <c r="J1849" s="252">
        <v>11886</v>
      </c>
      <c r="K1849" s="38">
        <f t="shared" si="110"/>
        <v>3126018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customHeight="1">
      <c r="A1850" s="204" t="str">
        <f>IF(B1850&lt;&gt;"",IF(AND(B1850&gt;=_TM1,B1850&lt;=_TM2,OR(TH!L1850="1111",TH!M1850="1111")),TH!D1850,""),"")</f>
        <v/>
      </c>
      <c r="B1850" s="36">
        <f t="shared" si="111"/>
        <v>1</v>
      </c>
      <c r="C1850" s="37">
        <f t="shared" si="109"/>
        <v>40923</v>
      </c>
      <c r="D1850" s="37" t="s">
        <v>1713</v>
      </c>
      <c r="E1850" s="37">
        <v>40923</v>
      </c>
      <c r="F1850" s="189" t="s">
        <v>1373</v>
      </c>
      <c r="G1850" s="40" t="s">
        <v>1549</v>
      </c>
      <c r="H1850" s="7" t="s">
        <v>1700</v>
      </c>
      <c r="I1850" s="252">
        <v>85</v>
      </c>
      <c r="J1850" s="252">
        <v>19567</v>
      </c>
      <c r="K1850" s="38">
        <f t="shared" si="110"/>
        <v>1663195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customHeight="1">
      <c r="A1851" s="204" t="str">
        <f>IF(B1851&lt;&gt;"",IF(AND(B1851&gt;=_TM1,B1851&lt;=_TM2,OR(TH!L1851="1111",TH!M1851="1111")),TH!D1851,""),"")</f>
        <v/>
      </c>
      <c r="B1851" s="36">
        <f t="shared" si="111"/>
        <v>1</v>
      </c>
      <c r="C1851" s="37">
        <f t="shared" si="109"/>
        <v>40923</v>
      </c>
      <c r="D1851" s="37" t="s">
        <v>1713</v>
      </c>
      <c r="E1851" s="37">
        <v>40923</v>
      </c>
      <c r="F1851" s="189" t="s">
        <v>1373</v>
      </c>
      <c r="G1851" s="40" t="s">
        <v>1549</v>
      </c>
      <c r="H1851" s="7" t="s">
        <v>1700</v>
      </c>
      <c r="I1851" s="252">
        <v>15</v>
      </c>
      <c r="J1851" s="252">
        <v>19567</v>
      </c>
      <c r="K1851" s="38">
        <f t="shared" si="110"/>
        <v>293505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customHeight="1">
      <c r="A1852" s="204" t="str">
        <f>IF(B1852&lt;&gt;"",IF(AND(B1852&gt;=_TM1,B1852&lt;=_TM2,OR(TH!L1852="1111",TH!M1852="1111")),TH!D1852,""),"")</f>
        <v/>
      </c>
      <c r="B1852" s="36">
        <f t="shared" si="111"/>
        <v>1</v>
      </c>
      <c r="C1852" s="37">
        <f t="shared" si="109"/>
        <v>40923</v>
      </c>
      <c r="D1852" s="37" t="s">
        <v>1713</v>
      </c>
      <c r="E1852" s="37">
        <v>40923</v>
      </c>
      <c r="F1852" s="189" t="s">
        <v>610</v>
      </c>
      <c r="G1852" s="40" t="s">
        <v>1549</v>
      </c>
      <c r="H1852" s="7" t="s">
        <v>1700</v>
      </c>
      <c r="I1852" s="252">
        <v>230</v>
      </c>
      <c r="J1852" s="252">
        <v>20213</v>
      </c>
      <c r="K1852" s="38">
        <f t="shared" si="110"/>
        <v>4648990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customHeight="1">
      <c r="A1853" s="204" t="str">
        <f>IF(B1853&lt;&gt;"",IF(AND(B1853&gt;=_TM1,B1853&lt;=_TM2,OR(TH!L1853="1111",TH!M1853="1111")),TH!D1853,""),"")</f>
        <v/>
      </c>
      <c r="B1853" s="36">
        <f t="shared" si="111"/>
        <v>1</v>
      </c>
      <c r="C1853" s="37">
        <f t="shared" si="109"/>
        <v>40923</v>
      </c>
      <c r="D1853" s="37" t="s">
        <v>1713</v>
      </c>
      <c r="E1853" s="37">
        <v>40923</v>
      </c>
      <c r="F1853" s="189" t="s">
        <v>638</v>
      </c>
      <c r="G1853" s="40" t="s">
        <v>1549</v>
      </c>
      <c r="H1853" s="7" t="s">
        <v>1700</v>
      </c>
      <c r="I1853" s="252">
        <v>20</v>
      </c>
      <c r="J1853" s="252">
        <v>16346</v>
      </c>
      <c r="K1853" s="38">
        <f t="shared" si="110"/>
        <v>326920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customHeight="1">
      <c r="A1854" s="204" t="str">
        <f>IF(B1854&lt;&gt;"",IF(AND(B1854&gt;=_TM1,B1854&lt;=_TM2,OR(TH!L1854="1111",TH!M1854="1111")),TH!D1854,""),"")</f>
        <v/>
      </c>
      <c r="B1854" s="36">
        <f t="shared" si="111"/>
        <v>1</v>
      </c>
      <c r="C1854" s="37">
        <f t="shared" si="109"/>
        <v>40923</v>
      </c>
      <c r="D1854" s="37" t="s">
        <v>1713</v>
      </c>
      <c r="E1854" s="37">
        <v>40923</v>
      </c>
      <c r="F1854" s="192" t="s">
        <v>662</v>
      </c>
      <c r="G1854" s="40" t="s">
        <v>1549</v>
      </c>
      <c r="H1854" s="7" t="s">
        <v>1700</v>
      </c>
      <c r="I1854" s="252">
        <v>200</v>
      </c>
      <c r="J1854" s="252">
        <v>21434</v>
      </c>
      <c r="K1854" s="38">
        <f t="shared" si="110"/>
        <v>4286800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customHeight="1">
      <c r="A1855" s="204" t="str">
        <f>IF(B1855&lt;&gt;"",IF(AND(B1855&gt;=_TM1,B1855&lt;=_TM2,OR(TH!L1855="1111",TH!M1855="1111")),TH!D1855,""),"")</f>
        <v/>
      </c>
      <c r="B1855" s="36">
        <f t="shared" si="111"/>
        <v>1</v>
      </c>
      <c r="C1855" s="37">
        <f t="shared" si="109"/>
        <v>40923</v>
      </c>
      <c r="D1855" s="37" t="s">
        <v>1713</v>
      </c>
      <c r="E1855" s="37">
        <v>40923</v>
      </c>
      <c r="F1855" s="189" t="s">
        <v>609</v>
      </c>
      <c r="G1855" s="40" t="s">
        <v>1549</v>
      </c>
      <c r="H1855" s="7" t="s">
        <v>1700</v>
      </c>
      <c r="I1855" s="252">
        <v>29</v>
      </c>
      <c r="J1855" s="252">
        <v>23827</v>
      </c>
      <c r="K1855" s="38">
        <f t="shared" si="110"/>
        <v>690983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customHeight="1">
      <c r="A1856" s="204" t="str">
        <f>IF(B1856&lt;&gt;"",IF(AND(B1856&gt;=_TM1,B1856&lt;=_TM2,OR(TH!L1856="1111",TH!M1856="1111")),TH!D1856,""),"")</f>
        <v/>
      </c>
      <c r="B1856" s="36">
        <f t="shared" si="111"/>
        <v>1</v>
      </c>
      <c r="C1856" s="37">
        <f t="shared" si="109"/>
        <v>40923</v>
      </c>
      <c r="D1856" s="37" t="s">
        <v>1713</v>
      </c>
      <c r="E1856" s="37">
        <v>40923</v>
      </c>
      <c r="F1856" s="192" t="s">
        <v>656</v>
      </c>
      <c r="G1856" s="40" t="s">
        <v>1549</v>
      </c>
      <c r="H1856" s="7" t="s">
        <v>1700</v>
      </c>
      <c r="I1856" s="252">
        <v>195</v>
      </c>
      <c r="J1856" s="252">
        <v>18008</v>
      </c>
      <c r="K1856" s="38">
        <f t="shared" si="110"/>
        <v>3511560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customHeight="1">
      <c r="A1857" s="204" t="str">
        <f>IF(B1857&lt;&gt;"",IF(AND(B1857&gt;=_TM1,B1857&lt;=_TM2,OR(TH!L1857="1111",TH!M1857="1111")),TH!D1857,""),"")</f>
        <v/>
      </c>
      <c r="B1857" s="36">
        <f t="shared" si="111"/>
        <v>1</v>
      </c>
      <c r="C1857" s="37">
        <f t="shared" si="109"/>
        <v>40923</v>
      </c>
      <c r="D1857" s="37" t="s">
        <v>1713</v>
      </c>
      <c r="E1857" s="37">
        <v>40923</v>
      </c>
      <c r="F1857" s="189" t="s">
        <v>1373</v>
      </c>
      <c r="G1857" s="40" t="s">
        <v>1549</v>
      </c>
      <c r="H1857" s="7" t="s">
        <v>1700</v>
      </c>
      <c r="I1857" s="252">
        <v>55</v>
      </c>
      <c r="J1857" s="252">
        <v>19567</v>
      </c>
      <c r="K1857" s="38">
        <f t="shared" si="110"/>
        <v>1076185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B1857" s="211"/>
    </row>
    <row r="1858" spans="1:28" ht="15.75" customHeight="1">
      <c r="A1858" s="204" t="str">
        <f>IF(B1858&lt;&gt;"",IF(AND(B1858&gt;=_TM1,B1858&lt;=_TM2,OR(TH!L1858="1111",TH!M1858="1111")),TH!D1858,""),"")</f>
        <v/>
      </c>
      <c r="B1858" s="36">
        <f t="shared" si="111"/>
        <v>1</v>
      </c>
      <c r="C1858" s="37">
        <f t="shared" si="109"/>
        <v>40935</v>
      </c>
      <c r="D1858" s="37" t="s">
        <v>1714</v>
      </c>
      <c r="E1858" s="37">
        <v>40935</v>
      </c>
      <c r="F1858" s="189" t="s">
        <v>651</v>
      </c>
      <c r="G1858" s="40" t="s">
        <v>1551</v>
      </c>
      <c r="H1858" s="7" t="s">
        <v>1700</v>
      </c>
      <c r="I1858" s="252">
        <v>105</v>
      </c>
      <c r="J1858" s="252">
        <v>17530</v>
      </c>
      <c r="K1858" s="38">
        <f t="shared" si="110"/>
        <v>1840650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B1858" s="211"/>
    </row>
    <row r="1859" spans="1:28" ht="15.75" customHeight="1">
      <c r="A1859" s="204" t="str">
        <f>IF(B1859&lt;&gt;"",IF(AND(B1859&gt;=_TM1,B1859&lt;=_TM2,OR(TH!L1859="1111",TH!M1859="1111")),TH!D1859,""),"")</f>
        <v/>
      </c>
      <c r="B1859" s="36">
        <f t="shared" ref="B1859:B1922" si="112">IF(C1859&lt;&gt;"",MONTH(C1859),"")</f>
        <v>1</v>
      </c>
      <c r="C1859" s="37">
        <f t="shared" si="109"/>
        <v>40935</v>
      </c>
      <c r="D1859" s="37" t="s">
        <v>1714</v>
      </c>
      <c r="E1859" s="191">
        <v>40935</v>
      </c>
      <c r="F1859" s="189" t="s">
        <v>618</v>
      </c>
      <c r="G1859" s="617" t="s">
        <v>1551</v>
      </c>
      <c r="H1859" s="7" t="s">
        <v>1700</v>
      </c>
      <c r="I1859" s="252">
        <v>40</v>
      </c>
      <c r="J1859" s="252">
        <v>13372</v>
      </c>
      <c r="K1859" s="38">
        <f t="shared" si="110"/>
        <v>534880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B1859" s="211"/>
    </row>
    <row r="1860" spans="1:28" ht="15.75" customHeight="1">
      <c r="A1860" s="204" t="str">
        <f>IF(B1860&lt;&gt;"",IF(AND(B1860&gt;=_TM1,B1860&lt;=_TM2,OR(TH!L1860="1111",TH!M1860="1111")),TH!D1860,""),"")</f>
        <v/>
      </c>
      <c r="B1860" s="36">
        <f t="shared" si="112"/>
        <v>1</v>
      </c>
      <c r="C1860" s="37">
        <f t="shared" si="109"/>
        <v>40935</v>
      </c>
      <c r="D1860" s="37" t="s">
        <v>1714</v>
      </c>
      <c r="E1860" s="191">
        <v>40935</v>
      </c>
      <c r="F1860" s="297" t="s">
        <v>1242</v>
      </c>
      <c r="G1860" s="617" t="s">
        <v>1551</v>
      </c>
      <c r="H1860" s="7" t="s">
        <v>1700</v>
      </c>
      <c r="I1860" s="252">
        <v>150</v>
      </c>
      <c r="J1860" s="252">
        <v>17097</v>
      </c>
      <c r="K1860" s="38">
        <f t="shared" si="110"/>
        <v>2564550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B1860" s="211"/>
    </row>
    <row r="1861" spans="1:28" ht="15.75" customHeight="1">
      <c r="A1861" s="204" t="str">
        <f>IF(B1861&lt;&gt;"",IF(AND(B1861&gt;=_TM1,B1861&lt;=_TM2,OR(TH!L1861="1111",TH!M1861="1111")),TH!D1861,""),"")</f>
        <v/>
      </c>
      <c r="B1861" s="36">
        <f t="shared" si="112"/>
        <v>1</v>
      </c>
      <c r="C1861" s="37">
        <f t="shared" si="109"/>
        <v>40935</v>
      </c>
      <c r="D1861" s="37" t="s">
        <v>1714</v>
      </c>
      <c r="E1861" s="191">
        <v>40935</v>
      </c>
      <c r="F1861" s="189" t="s">
        <v>637</v>
      </c>
      <c r="G1861" s="490" t="s">
        <v>1551</v>
      </c>
      <c r="H1861" s="7" t="s">
        <v>1700</v>
      </c>
      <c r="I1861" s="254">
        <v>240</v>
      </c>
      <c r="J1861" s="254">
        <v>15665</v>
      </c>
      <c r="K1861" s="38">
        <f t="shared" si="110"/>
        <v>3759600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B1861" s="211"/>
    </row>
    <row r="1862" spans="1:28" ht="15.75" customHeight="1">
      <c r="A1862" s="204" t="str">
        <f>IF(B1862&lt;&gt;"",IF(AND(B1862&gt;=_TM1,B1862&lt;=_TM2,OR(TH!L1862="1111",TH!M1862="1111")),TH!D1862,""),"")</f>
        <v/>
      </c>
      <c r="B1862" s="36">
        <f t="shared" si="112"/>
        <v>1</v>
      </c>
      <c r="C1862" s="37">
        <f t="shared" si="109"/>
        <v>40935</v>
      </c>
      <c r="D1862" s="37" t="s">
        <v>1714</v>
      </c>
      <c r="E1862" s="191">
        <v>40935</v>
      </c>
      <c r="F1862" s="297" t="s">
        <v>1369</v>
      </c>
      <c r="G1862" s="490" t="s">
        <v>1551</v>
      </c>
      <c r="H1862" s="7" t="s">
        <v>1700</v>
      </c>
      <c r="I1862" s="252">
        <v>372</v>
      </c>
      <c r="J1862" s="252">
        <v>13471</v>
      </c>
      <c r="K1862" s="38">
        <f t="shared" si="110"/>
        <v>5011212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B1862" s="211"/>
    </row>
    <row r="1863" spans="1:28" ht="15.75" customHeight="1">
      <c r="A1863" s="204" t="str">
        <f>IF(B1863&lt;&gt;"",IF(AND(B1863&gt;=_TM1,B1863&lt;=_TM2,OR(TH!L1863="1111",TH!M1863="1111")),TH!D1863,""),"")</f>
        <v/>
      </c>
      <c r="B1863" s="36">
        <f t="shared" si="112"/>
        <v>1</v>
      </c>
      <c r="C1863" s="37">
        <f t="shared" si="109"/>
        <v>40935</v>
      </c>
      <c r="D1863" s="37" t="s">
        <v>1714</v>
      </c>
      <c r="E1863" s="191">
        <v>40935</v>
      </c>
      <c r="F1863" s="192" t="s">
        <v>672</v>
      </c>
      <c r="G1863" s="490" t="s">
        <v>1551</v>
      </c>
      <c r="H1863" s="7" t="s">
        <v>1700</v>
      </c>
      <c r="I1863" s="252">
        <v>250</v>
      </c>
      <c r="J1863" s="252">
        <v>24720</v>
      </c>
      <c r="K1863" s="38">
        <f t="shared" si="110"/>
        <v>6180000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B1863" s="211"/>
    </row>
    <row r="1864" spans="1:28" ht="15.75" customHeight="1">
      <c r="A1864" s="204" t="str">
        <f>IF(B1864&lt;&gt;"",IF(AND(B1864&gt;=_TM1,B1864&lt;=_TM2,OR(TH!L1864="1111",TH!M1864="1111")),TH!D1864,""),"")</f>
        <v/>
      </c>
      <c r="B1864" s="36">
        <f t="shared" si="112"/>
        <v>1</v>
      </c>
      <c r="C1864" s="37">
        <f t="shared" si="109"/>
        <v>40935</v>
      </c>
      <c r="D1864" s="37" t="s">
        <v>1714</v>
      </c>
      <c r="E1864" s="191">
        <v>40935</v>
      </c>
      <c r="F1864" s="189" t="s">
        <v>1376</v>
      </c>
      <c r="G1864" s="490" t="s">
        <v>1551</v>
      </c>
      <c r="H1864" s="7" t="s">
        <v>1700</v>
      </c>
      <c r="I1864" s="252">
        <v>100</v>
      </c>
      <c r="J1864" s="252">
        <v>11508</v>
      </c>
      <c r="K1864" s="38">
        <f t="shared" si="110"/>
        <v>1150800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B1864" s="211"/>
    </row>
    <row r="1865" spans="1:28" ht="15.75" customHeight="1">
      <c r="A1865" s="204" t="str">
        <f>IF(B1865&lt;&gt;"",IF(AND(B1865&gt;=_TM1,B1865&lt;=_TM2,OR(TH!L1865="1111",TH!M1865="1111")),TH!D1865,""),"")</f>
        <v/>
      </c>
      <c r="B1865" s="36">
        <f t="shared" si="112"/>
        <v>1</v>
      </c>
      <c r="C1865" s="37">
        <f t="shared" si="109"/>
        <v>40935</v>
      </c>
      <c r="D1865" s="37" t="s">
        <v>1714</v>
      </c>
      <c r="E1865" s="191">
        <v>40935</v>
      </c>
      <c r="F1865" s="189" t="s">
        <v>1375</v>
      </c>
      <c r="G1865" s="490" t="s">
        <v>1551</v>
      </c>
      <c r="H1865" s="7" t="s">
        <v>1700</v>
      </c>
      <c r="I1865" s="252">
        <v>100</v>
      </c>
      <c r="J1865" s="252">
        <v>12022</v>
      </c>
      <c r="K1865" s="38">
        <f t="shared" si="110"/>
        <v>1202200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B1865" s="211"/>
    </row>
    <row r="1866" spans="1:28" ht="15.75" customHeight="1">
      <c r="A1866" s="204" t="str">
        <f>IF(B1866&lt;&gt;"",IF(AND(B1866&gt;=_TM1,B1866&lt;=_TM2,OR(TH!L1866="1111",TH!M1866="1111")),TH!D1866,""),"")</f>
        <v/>
      </c>
      <c r="B1866" s="36">
        <f t="shared" si="112"/>
        <v>1</v>
      </c>
      <c r="C1866" s="37">
        <f t="shared" si="109"/>
        <v>40935</v>
      </c>
      <c r="D1866" s="37" t="s">
        <v>1714</v>
      </c>
      <c r="E1866" s="191">
        <v>40935</v>
      </c>
      <c r="F1866" s="189" t="s">
        <v>1258</v>
      </c>
      <c r="G1866" s="490" t="s">
        <v>1551</v>
      </c>
      <c r="H1866" s="7" t="s">
        <v>1700</v>
      </c>
      <c r="I1866" s="252">
        <v>100</v>
      </c>
      <c r="J1866" s="252">
        <v>27630</v>
      </c>
      <c r="K1866" s="38">
        <f t="shared" si="110"/>
        <v>2763000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B1866" s="211"/>
    </row>
    <row r="1867" spans="1:28" ht="15.75" customHeight="1">
      <c r="A1867" s="204" t="str">
        <f>IF(B1867&lt;&gt;"",IF(AND(B1867&gt;=_TM1,B1867&lt;=_TM2,OR(TH!L1867="1111",TH!M1867="1111")),TH!D1867,""),"")</f>
        <v/>
      </c>
      <c r="B1867" s="36">
        <f t="shared" si="112"/>
        <v>1</v>
      </c>
      <c r="C1867" s="37">
        <f t="shared" si="109"/>
        <v>40935</v>
      </c>
      <c r="D1867" s="37" t="s">
        <v>1714</v>
      </c>
      <c r="E1867" s="184">
        <v>40935</v>
      </c>
      <c r="F1867" s="192" t="s">
        <v>662</v>
      </c>
      <c r="G1867" s="617" t="s">
        <v>1551</v>
      </c>
      <c r="H1867" s="7" t="s">
        <v>1700</v>
      </c>
      <c r="I1867" s="252">
        <v>170</v>
      </c>
      <c r="J1867" s="252">
        <v>21434</v>
      </c>
      <c r="K1867" s="38">
        <f t="shared" si="110"/>
        <v>3643780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B1867" s="211"/>
    </row>
    <row r="1868" spans="1:28" ht="15.75" customHeight="1">
      <c r="A1868" s="204" t="str">
        <f>IF(B1868&lt;&gt;"",IF(AND(B1868&gt;=_TM1,B1868&lt;=_TM2,OR(TH!L1868="1111",TH!M1868="1111")),TH!D1868,""),"")</f>
        <v/>
      </c>
      <c r="B1868" s="36">
        <f t="shared" si="112"/>
        <v>1</v>
      </c>
      <c r="C1868" s="37">
        <f t="shared" si="109"/>
        <v>40936</v>
      </c>
      <c r="D1868" s="37" t="s">
        <v>1715</v>
      </c>
      <c r="E1868" s="191">
        <v>40936</v>
      </c>
      <c r="F1868" s="189" t="s">
        <v>1373</v>
      </c>
      <c r="G1868" s="691" t="s">
        <v>1552</v>
      </c>
      <c r="H1868" s="7" t="s">
        <v>1700</v>
      </c>
      <c r="I1868" s="252">
        <v>70</v>
      </c>
      <c r="J1868" s="252">
        <v>19567</v>
      </c>
      <c r="K1868" s="38">
        <f t="shared" si="110"/>
        <v>1369690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B1868" s="211"/>
    </row>
    <row r="1869" spans="1:28" ht="15.75" customHeight="1">
      <c r="A1869" s="204" t="str">
        <f>IF(B1869&lt;&gt;"",IF(AND(B1869&gt;=_TM1,B1869&lt;=_TM2,OR(TH!L1869="1111",TH!M1869="1111")),TH!D1869,""),"")</f>
        <v/>
      </c>
      <c r="B1869" s="36">
        <f t="shared" si="112"/>
        <v>1</v>
      </c>
      <c r="C1869" s="37">
        <f t="shared" si="109"/>
        <v>40936</v>
      </c>
      <c r="D1869" s="37" t="s">
        <v>1715</v>
      </c>
      <c r="E1869" s="191">
        <v>40936</v>
      </c>
      <c r="F1869" s="189" t="s">
        <v>1371</v>
      </c>
      <c r="G1869" s="691" t="s">
        <v>1552</v>
      </c>
      <c r="H1869" s="7" t="s">
        <v>1700</v>
      </c>
      <c r="I1869" s="252">
        <v>8</v>
      </c>
      <c r="J1869" s="252">
        <v>20362</v>
      </c>
      <c r="K1869" s="38">
        <f t="shared" si="110"/>
        <v>162896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B1869" s="211"/>
    </row>
    <row r="1870" spans="1:28" ht="15.75" customHeight="1">
      <c r="A1870" s="204" t="str">
        <f>IF(B1870&lt;&gt;"",IF(AND(B1870&gt;=_TM1,B1870&lt;=_TM2,OR(TH!L1870="1111",TH!M1870="1111")),TH!D1870,""),"")</f>
        <v/>
      </c>
      <c r="B1870" s="36">
        <f t="shared" si="112"/>
        <v>1</v>
      </c>
      <c r="C1870" s="37">
        <f t="shared" si="109"/>
        <v>40936</v>
      </c>
      <c r="D1870" s="37" t="s">
        <v>1715</v>
      </c>
      <c r="E1870" s="191">
        <v>40936</v>
      </c>
      <c r="F1870" s="192" t="s">
        <v>659</v>
      </c>
      <c r="G1870" s="691" t="s">
        <v>1552</v>
      </c>
      <c r="H1870" s="7" t="s">
        <v>1700</v>
      </c>
      <c r="I1870" s="252">
        <v>78</v>
      </c>
      <c r="J1870" s="252">
        <v>26573</v>
      </c>
      <c r="K1870" s="38">
        <f t="shared" si="110"/>
        <v>2072694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B1870" s="211"/>
    </row>
    <row r="1871" spans="1:28" ht="15.75" customHeight="1">
      <c r="A1871" s="204" t="str">
        <f>IF(B1871&lt;&gt;"",IF(AND(B1871&gt;=_TM1,B1871&lt;=_TM2,OR(TH!L1871="1111",TH!M1871="1111")),TH!D1871,""),"")</f>
        <v/>
      </c>
      <c r="B1871" s="36">
        <f t="shared" si="112"/>
        <v>1</v>
      </c>
      <c r="C1871" s="37">
        <f t="shared" si="109"/>
        <v>40936</v>
      </c>
      <c r="D1871" s="37" t="s">
        <v>1715</v>
      </c>
      <c r="E1871" s="833">
        <v>40936</v>
      </c>
      <c r="F1871" s="192" t="s">
        <v>662</v>
      </c>
      <c r="G1871" s="490" t="s">
        <v>1552</v>
      </c>
      <c r="H1871" s="7" t="s">
        <v>1700</v>
      </c>
      <c r="I1871" s="256">
        <v>150</v>
      </c>
      <c r="J1871" s="256">
        <v>21434</v>
      </c>
      <c r="K1871" s="38">
        <f t="shared" si="110"/>
        <v>3215100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B1871" s="211"/>
    </row>
    <row r="1872" spans="1:28" ht="15.75" customHeight="1">
      <c r="A1872" s="204" t="str">
        <f>IF(B1872&lt;&gt;"",IF(AND(B1872&gt;=_TM1,B1872&lt;=_TM2,OR(TH!L1872="1111",TH!M1872="1111")),TH!D1872,""),"")</f>
        <v/>
      </c>
      <c r="B1872" s="36">
        <f t="shared" si="112"/>
        <v>1</v>
      </c>
      <c r="C1872" s="37">
        <f t="shared" si="109"/>
        <v>40936</v>
      </c>
      <c r="D1872" s="37" t="s">
        <v>1715</v>
      </c>
      <c r="E1872" s="184">
        <v>40936</v>
      </c>
      <c r="F1872" s="189" t="s">
        <v>1254</v>
      </c>
      <c r="G1872" s="617" t="s">
        <v>1552</v>
      </c>
      <c r="H1872" s="7" t="s">
        <v>1700</v>
      </c>
      <c r="I1872" s="252">
        <v>200</v>
      </c>
      <c r="J1872" s="252">
        <v>25802</v>
      </c>
      <c r="K1872" s="38">
        <f t="shared" si="110"/>
        <v>5160400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B1872" s="211"/>
    </row>
    <row r="1873" spans="1:28" ht="15.75" customHeight="1">
      <c r="A1873" s="204" t="str">
        <f>IF(B1873&lt;&gt;"",IF(AND(B1873&gt;=_TM1,B1873&lt;=_TM2,OR(TH!L1873="1111",TH!M1873="1111")),TH!D1873,""),"")</f>
        <v/>
      </c>
      <c r="B1873" s="36">
        <f t="shared" si="112"/>
        <v>1</v>
      </c>
      <c r="C1873" s="37">
        <f t="shared" si="109"/>
        <v>40936</v>
      </c>
      <c r="D1873" s="37" t="s">
        <v>1715</v>
      </c>
      <c r="E1873" s="191">
        <v>40936</v>
      </c>
      <c r="F1873" s="192" t="s">
        <v>675</v>
      </c>
      <c r="G1873" s="490" t="s">
        <v>1552</v>
      </c>
      <c r="H1873" s="7" t="s">
        <v>1700</v>
      </c>
      <c r="I1873" s="252">
        <v>100</v>
      </c>
      <c r="J1873" s="252">
        <v>13370</v>
      </c>
      <c r="K1873" s="38">
        <f t="shared" si="110"/>
        <v>1337000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ht="15.75" customHeight="1">
      <c r="A1874" s="204" t="str">
        <f>IF(B1874&lt;&gt;"",IF(AND(B1874&gt;=_TM1,B1874&lt;=_TM2,OR(TH!L1874="1111",TH!M1874="1111")),TH!D1874,""),"")</f>
        <v/>
      </c>
      <c r="B1874" s="36">
        <f t="shared" si="112"/>
        <v>1</v>
      </c>
      <c r="C1874" s="37">
        <f t="shared" si="109"/>
        <v>40936</v>
      </c>
      <c r="D1874" s="37" t="s">
        <v>1715</v>
      </c>
      <c r="E1874" s="191">
        <v>40936</v>
      </c>
      <c r="F1874" s="189" t="s">
        <v>650</v>
      </c>
      <c r="G1874" s="490" t="s">
        <v>1552</v>
      </c>
      <c r="H1874" s="7" t="s">
        <v>1700</v>
      </c>
      <c r="I1874" s="252">
        <v>195</v>
      </c>
      <c r="J1874" s="252">
        <v>20842</v>
      </c>
      <c r="K1874" s="38">
        <f t="shared" si="110"/>
        <v>4064190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ht="15.75" customHeight="1">
      <c r="A1875" s="204" t="str">
        <f>IF(B1875&lt;&gt;"",IF(AND(B1875&gt;=_TM1,B1875&lt;=_TM2,OR(TH!L1875="1111",TH!M1875="1111")),TH!D1875,""),"")</f>
        <v/>
      </c>
      <c r="B1875" s="36">
        <f t="shared" si="112"/>
        <v>1</v>
      </c>
      <c r="C1875" s="37">
        <f t="shared" si="109"/>
        <v>40936</v>
      </c>
      <c r="D1875" s="37" t="s">
        <v>1715</v>
      </c>
      <c r="E1875" s="191">
        <v>40936</v>
      </c>
      <c r="F1875" s="297" t="s">
        <v>1368</v>
      </c>
      <c r="G1875" s="490" t="s">
        <v>1552</v>
      </c>
      <c r="H1875" s="7" t="s">
        <v>1700</v>
      </c>
      <c r="I1875" s="252">
        <v>183</v>
      </c>
      <c r="J1875" s="252">
        <v>12207</v>
      </c>
      <c r="K1875" s="38">
        <f t="shared" si="110"/>
        <v>2233881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ht="15.75" customHeight="1">
      <c r="A1876" s="204" t="str">
        <f>IF(B1876&lt;&gt;"",IF(AND(B1876&gt;=_TM1,B1876&lt;=_TM2,OR(TH!L1876="1111",TH!M1876="1111")),TH!D1876,""),"")</f>
        <v/>
      </c>
      <c r="B1876" s="36">
        <f t="shared" si="112"/>
        <v>1</v>
      </c>
      <c r="C1876" s="37">
        <f t="shared" si="109"/>
        <v>40936</v>
      </c>
      <c r="D1876" s="37" t="s">
        <v>1715</v>
      </c>
      <c r="E1876" s="191">
        <v>40936</v>
      </c>
      <c r="F1876" s="189" t="s">
        <v>616</v>
      </c>
      <c r="G1876" s="490" t="s">
        <v>1552</v>
      </c>
      <c r="H1876" s="7" t="s">
        <v>1700</v>
      </c>
      <c r="I1876" s="252">
        <v>70</v>
      </c>
      <c r="J1876" s="252">
        <v>14875</v>
      </c>
      <c r="K1876" s="38">
        <f t="shared" si="110"/>
        <v>1041250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ht="15.75" customHeight="1">
      <c r="A1877" s="204" t="str">
        <f>IF(B1877&lt;&gt;"",IF(AND(B1877&gt;=_TM1,B1877&lt;=_TM2,OR(TH!L1877="1111",TH!M1877="1111")),TH!D1877,""),"")</f>
        <v/>
      </c>
      <c r="B1877" s="36">
        <f t="shared" si="112"/>
        <v>1</v>
      </c>
      <c r="C1877" s="37">
        <f t="shared" si="109"/>
        <v>40936</v>
      </c>
      <c r="D1877" s="37" t="s">
        <v>1715</v>
      </c>
      <c r="E1877" s="191">
        <v>40936</v>
      </c>
      <c r="F1877" s="189" t="s">
        <v>1373</v>
      </c>
      <c r="G1877" s="490" t="s">
        <v>1552</v>
      </c>
      <c r="H1877" s="7" t="s">
        <v>1700</v>
      </c>
      <c r="I1877" s="252">
        <v>80</v>
      </c>
      <c r="J1877" s="252">
        <v>19567</v>
      </c>
      <c r="K1877" s="38">
        <f t="shared" si="110"/>
        <v>1565360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ht="15.75" customHeight="1">
      <c r="A1878" s="204" t="str">
        <f>IF(B1878&lt;&gt;"",IF(AND(B1878&gt;=_TM1,B1878&lt;=_TM2,OR(TH!L1878="1111",TH!M1878="1111")),TH!D1878,""),"")</f>
        <v/>
      </c>
      <c r="B1878" s="36">
        <f t="shared" si="112"/>
        <v>2</v>
      </c>
      <c r="C1878" s="37">
        <f t="shared" si="109"/>
        <v>40943</v>
      </c>
      <c r="D1878" s="37" t="s">
        <v>1716</v>
      </c>
      <c r="E1878" s="191">
        <v>40943</v>
      </c>
      <c r="F1878" s="189" t="s">
        <v>636</v>
      </c>
      <c r="G1878" s="490" t="s">
        <v>932</v>
      </c>
      <c r="H1878" s="7" t="s">
        <v>1700</v>
      </c>
      <c r="I1878" s="252">
        <v>503</v>
      </c>
      <c r="J1878" s="252">
        <v>20511</v>
      </c>
      <c r="K1878" s="38">
        <f t="shared" si="110"/>
        <v>10317033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ht="15.75" customHeight="1">
      <c r="A1879" s="204" t="str">
        <f>IF(B1879&lt;&gt;"",IF(AND(B1879&gt;=_TM1,B1879&lt;=_TM2,OR(TH!L1879="1111",TH!M1879="1111")),TH!D1879,""),"")</f>
        <v/>
      </c>
      <c r="B1879" s="36">
        <f t="shared" si="112"/>
        <v>2</v>
      </c>
      <c r="C1879" s="37">
        <f t="shared" si="109"/>
        <v>40943</v>
      </c>
      <c r="D1879" s="37" t="s">
        <v>1716</v>
      </c>
      <c r="E1879" s="191">
        <v>40943</v>
      </c>
      <c r="F1879" s="189" t="s">
        <v>1365</v>
      </c>
      <c r="G1879" s="490" t="s">
        <v>932</v>
      </c>
      <c r="H1879" s="7" t="s">
        <v>1700</v>
      </c>
      <c r="I1879" s="252">
        <v>100</v>
      </c>
      <c r="J1879" s="252">
        <v>21766</v>
      </c>
      <c r="K1879" s="38">
        <f t="shared" si="110"/>
        <v>2176600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ht="15.75" customHeight="1">
      <c r="A1880" s="204" t="str">
        <f>IF(B1880&lt;&gt;"",IF(AND(B1880&gt;=_TM1,B1880&lt;=_TM2,OR(TH!L1880="1111",TH!M1880="1111")),TH!D1880,""),"")</f>
        <v/>
      </c>
      <c r="B1880" s="36">
        <f t="shared" si="112"/>
        <v>2</v>
      </c>
      <c r="C1880" s="37">
        <f t="shared" ref="C1880:C1943" si="113">E1880</f>
        <v>40943</v>
      </c>
      <c r="D1880" s="37" t="s">
        <v>1716</v>
      </c>
      <c r="E1880" s="191">
        <v>40943</v>
      </c>
      <c r="F1880" s="189" t="s">
        <v>1251</v>
      </c>
      <c r="G1880" s="490" t="s">
        <v>932</v>
      </c>
      <c r="H1880" s="7" t="s">
        <v>1700</v>
      </c>
      <c r="I1880" s="252">
        <v>300</v>
      </c>
      <c r="J1880" s="252">
        <v>20255</v>
      </c>
      <c r="K1880" s="38">
        <f t="shared" ref="K1880:K1943" si="114">ROUND(I1880*J1880,0)</f>
        <v>6076500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ht="15.75" customHeight="1">
      <c r="A1881" s="204" t="str">
        <f>IF(B1881&lt;&gt;"",IF(AND(B1881&gt;=_TM1,B1881&lt;=_TM2,OR(TH!L1881="1111",TH!M1881="1111")),TH!D1881,""),"")</f>
        <v/>
      </c>
      <c r="B1881" s="36">
        <f t="shared" si="112"/>
        <v>2</v>
      </c>
      <c r="C1881" s="37">
        <f t="shared" si="113"/>
        <v>40943</v>
      </c>
      <c r="D1881" s="37" t="s">
        <v>1716</v>
      </c>
      <c r="E1881" s="191">
        <v>40943</v>
      </c>
      <c r="F1881" s="297" t="s">
        <v>1366</v>
      </c>
      <c r="G1881" s="490" t="s">
        <v>932</v>
      </c>
      <c r="H1881" s="7" t="s">
        <v>1700</v>
      </c>
      <c r="I1881" s="252">
        <v>20</v>
      </c>
      <c r="J1881" s="252">
        <v>8768</v>
      </c>
      <c r="K1881" s="38">
        <f t="shared" si="114"/>
        <v>175360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ht="15.75" customHeight="1">
      <c r="A1882" s="204" t="str">
        <f>IF(B1882&lt;&gt;"",IF(AND(B1882&gt;=_TM1,B1882&lt;=_TM2,OR(TH!L1882="1111",TH!M1882="1111")),TH!D1882,""),"")</f>
        <v/>
      </c>
      <c r="B1882" s="36">
        <f t="shared" si="112"/>
        <v>2</v>
      </c>
      <c r="C1882" s="37">
        <f t="shared" si="113"/>
        <v>40943</v>
      </c>
      <c r="D1882" s="37" t="s">
        <v>1716</v>
      </c>
      <c r="E1882" s="191">
        <v>40943</v>
      </c>
      <c r="F1882" s="297" t="s">
        <v>1366</v>
      </c>
      <c r="G1882" s="490" t="s">
        <v>932</v>
      </c>
      <c r="H1882" s="7" t="s">
        <v>1700</v>
      </c>
      <c r="I1882" s="252">
        <v>20</v>
      </c>
      <c r="J1882" s="252">
        <v>8768</v>
      </c>
      <c r="K1882" s="38">
        <f t="shared" si="114"/>
        <v>175360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ht="15.75" customHeight="1">
      <c r="A1883" s="204" t="str">
        <f>IF(B1883&lt;&gt;"",IF(AND(B1883&gt;=_TM1,B1883&lt;=_TM2,OR(TH!L1883="1111",TH!M1883="1111")),TH!D1883,""),"")</f>
        <v/>
      </c>
      <c r="B1883" s="36">
        <f t="shared" si="112"/>
        <v>2</v>
      </c>
      <c r="C1883" s="37">
        <f t="shared" si="113"/>
        <v>40950</v>
      </c>
      <c r="D1883" s="37" t="s">
        <v>1717</v>
      </c>
      <c r="E1883" s="191">
        <v>40950</v>
      </c>
      <c r="F1883" s="189" t="s">
        <v>1248</v>
      </c>
      <c r="G1883" s="490" t="s">
        <v>936</v>
      </c>
      <c r="H1883" s="7" t="s">
        <v>1700</v>
      </c>
      <c r="I1883" s="252">
        <v>140</v>
      </c>
      <c r="J1883" s="252">
        <v>20059</v>
      </c>
      <c r="K1883" s="38">
        <f t="shared" si="114"/>
        <v>2808260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ht="15.75" customHeight="1">
      <c r="A1884" s="204" t="str">
        <f>IF(B1884&lt;&gt;"",IF(AND(B1884&gt;=_TM1,B1884&lt;=_TM2,OR(TH!L1884="1111",TH!M1884="1111")),TH!D1884,""),"")</f>
        <v/>
      </c>
      <c r="B1884" s="36">
        <f t="shared" si="112"/>
        <v>2</v>
      </c>
      <c r="C1884" s="37">
        <f t="shared" si="113"/>
        <v>40950</v>
      </c>
      <c r="D1884" s="37" t="s">
        <v>1717</v>
      </c>
      <c r="E1884" s="191">
        <v>40950</v>
      </c>
      <c r="F1884" s="189" t="s">
        <v>604</v>
      </c>
      <c r="G1884" s="490" t="s">
        <v>1553</v>
      </c>
      <c r="H1884" s="7" t="s">
        <v>1700</v>
      </c>
      <c r="I1884" s="252">
        <v>509</v>
      </c>
      <c r="J1884" s="252">
        <v>13372</v>
      </c>
      <c r="K1884" s="38">
        <f t="shared" si="114"/>
        <v>6806348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ht="15.75" customHeight="1">
      <c r="A1885" s="204" t="str">
        <f>IF(B1885&lt;&gt;"",IF(AND(B1885&gt;=_TM1,B1885&lt;=_TM2,OR(TH!L1885="1111",TH!M1885="1111")),TH!D1885,""),"")</f>
        <v/>
      </c>
      <c r="B1885" s="36">
        <f t="shared" si="112"/>
        <v>2</v>
      </c>
      <c r="C1885" s="37">
        <f t="shared" si="113"/>
        <v>40953</v>
      </c>
      <c r="D1885" s="37" t="s">
        <v>1718</v>
      </c>
      <c r="E1885" s="191">
        <v>40953</v>
      </c>
      <c r="F1885" s="192" t="s">
        <v>667</v>
      </c>
      <c r="G1885" s="490" t="s">
        <v>937</v>
      </c>
      <c r="H1885" s="7" t="s">
        <v>1700</v>
      </c>
      <c r="I1885" s="252">
        <v>254</v>
      </c>
      <c r="J1885" s="252">
        <v>16565</v>
      </c>
      <c r="K1885" s="38">
        <f t="shared" si="114"/>
        <v>4207510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ht="15.75" customHeight="1">
      <c r="A1886" s="204" t="str">
        <f>IF(B1886&lt;&gt;"",IF(AND(B1886&gt;=_TM1,B1886&lt;=_TM2,OR(TH!L1886="1111",TH!M1886="1111")),TH!D1886,""),"")</f>
        <v/>
      </c>
      <c r="B1886" s="36">
        <f t="shared" si="112"/>
        <v>2</v>
      </c>
      <c r="C1886" s="37">
        <f t="shared" si="113"/>
        <v>40956</v>
      </c>
      <c r="D1886" s="37" t="s">
        <v>1719</v>
      </c>
      <c r="E1886" s="191">
        <v>40956</v>
      </c>
      <c r="F1886" s="189" t="s">
        <v>631</v>
      </c>
      <c r="G1886" s="490" t="s">
        <v>1554</v>
      </c>
      <c r="H1886" s="7" t="s">
        <v>1700</v>
      </c>
      <c r="I1886" s="252">
        <v>274</v>
      </c>
      <c r="J1886" s="252">
        <v>26146</v>
      </c>
      <c r="K1886" s="38">
        <f t="shared" si="114"/>
        <v>7164004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B1886" s="211"/>
    </row>
    <row r="1887" spans="1:28" ht="15.75" customHeight="1">
      <c r="A1887" s="204" t="str">
        <f>IF(B1887&lt;&gt;"",IF(AND(B1887&gt;=_TM1,B1887&lt;=_TM2,OR(TH!L1887="1111",TH!M1887="1111")),TH!D1887,""),"")</f>
        <v/>
      </c>
      <c r="B1887" s="36">
        <f t="shared" si="112"/>
        <v>2</v>
      </c>
      <c r="C1887" s="37">
        <f t="shared" si="113"/>
        <v>40956</v>
      </c>
      <c r="D1887" s="37" t="s">
        <v>1719</v>
      </c>
      <c r="E1887" s="191">
        <v>40956</v>
      </c>
      <c r="F1887" s="297" t="s">
        <v>1250</v>
      </c>
      <c r="G1887" s="490" t="s">
        <v>1554</v>
      </c>
      <c r="H1887" s="7" t="s">
        <v>1700</v>
      </c>
      <c r="I1887" s="252">
        <v>493</v>
      </c>
      <c r="J1887" s="252">
        <v>31364</v>
      </c>
      <c r="K1887" s="38">
        <f t="shared" si="114"/>
        <v>15462452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B1887" s="211"/>
    </row>
    <row r="1888" spans="1:28" ht="15.75" customHeight="1">
      <c r="A1888" s="204" t="str">
        <f>IF(B1888&lt;&gt;"",IF(AND(B1888&gt;=_TM1,B1888&lt;=_TM2,OR(TH!L1888="1111",TH!M1888="1111")),TH!D1888,""),"")</f>
        <v/>
      </c>
      <c r="B1888" s="36">
        <f t="shared" si="112"/>
        <v>2</v>
      </c>
      <c r="C1888" s="37">
        <f t="shared" si="113"/>
        <v>40959</v>
      </c>
      <c r="D1888" s="37" t="s">
        <v>1720</v>
      </c>
      <c r="E1888" s="184">
        <v>40959</v>
      </c>
      <c r="F1888" s="189" t="s">
        <v>1373</v>
      </c>
      <c r="G1888" s="617" t="s">
        <v>938</v>
      </c>
      <c r="H1888" s="7" t="s">
        <v>1700</v>
      </c>
      <c r="I1888" s="252">
        <v>75</v>
      </c>
      <c r="J1888" s="252">
        <v>19567</v>
      </c>
      <c r="K1888" s="38">
        <f t="shared" si="114"/>
        <v>1467525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B1888" s="211"/>
    </row>
    <row r="1889" spans="1:28" ht="15.75" customHeight="1">
      <c r="A1889" s="204" t="str">
        <f>IF(B1889&lt;&gt;"",IF(AND(B1889&gt;=_TM1,B1889&lt;=_TM2,OR(TH!L1889="1111",TH!M1889="1111")),TH!D1889,""),"")</f>
        <v/>
      </c>
      <c r="B1889" s="36">
        <f t="shared" si="112"/>
        <v>2</v>
      </c>
      <c r="C1889" s="37">
        <f t="shared" si="113"/>
        <v>40960</v>
      </c>
      <c r="D1889" s="37" t="s">
        <v>1721</v>
      </c>
      <c r="E1889" s="184">
        <v>40960</v>
      </c>
      <c r="F1889" s="189" t="s">
        <v>652</v>
      </c>
      <c r="G1889" s="617" t="s">
        <v>1558</v>
      </c>
      <c r="H1889" s="7" t="s">
        <v>1700</v>
      </c>
      <c r="I1889" s="252">
        <v>98</v>
      </c>
      <c r="J1889" s="252">
        <v>19086</v>
      </c>
      <c r="K1889" s="38">
        <f t="shared" si="114"/>
        <v>1870428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B1889" s="211"/>
    </row>
    <row r="1890" spans="1:28" ht="15.75" customHeight="1">
      <c r="A1890" s="204" t="str">
        <f>IF(B1890&lt;&gt;"",IF(AND(B1890&gt;=_TM1,B1890&lt;=_TM2,OR(TH!L1890="1111",TH!M1890="1111")),TH!D1890,""),"")</f>
        <v/>
      </c>
      <c r="B1890" s="36">
        <f t="shared" si="112"/>
        <v>2</v>
      </c>
      <c r="C1890" s="37">
        <f t="shared" si="113"/>
        <v>40960</v>
      </c>
      <c r="D1890" s="37" t="s">
        <v>1721</v>
      </c>
      <c r="E1890" s="184">
        <v>40960</v>
      </c>
      <c r="F1890" s="189" t="s">
        <v>653</v>
      </c>
      <c r="G1890" s="617" t="s">
        <v>1558</v>
      </c>
      <c r="H1890" s="7" t="s">
        <v>1700</v>
      </c>
      <c r="I1890" s="252">
        <v>200</v>
      </c>
      <c r="J1890" s="252">
        <v>571</v>
      </c>
      <c r="K1890" s="38">
        <f t="shared" si="114"/>
        <v>114200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B1890" s="211"/>
    </row>
    <row r="1891" spans="1:28" ht="15.75" customHeight="1">
      <c r="A1891" s="204" t="str">
        <f>IF(B1891&lt;&gt;"",IF(AND(B1891&gt;=_TM1,B1891&lt;=_TM2,OR(TH!L1891="1111",TH!M1891="1111")),TH!D1891,""),"")</f>
        <v/>
      </c>
      <c r="B1891" s="36">
        <f t="shared" si="112"/>
        <v>2</v>
      </c>
      <c r="C1891" s="37">
        <f t="shared" si="113"/>
        <v>40962</v>
      </c>
      <c r="D1891" s="37" t="s">
        <v>1722</v>
      </c>
      <c r="E1891" s="184">
        <v>40962</v>
      </c>
      <c r="F1891" s="189" t="s">
        <v>1371</v>
      </c>
      <c r="G1891" s="617" t="s">
        <v>1495</v>
      </c>
      <c r="H1891" s="7" t="s">
        <v>1700</v>
      </c>
      <c r="I1891" s="252">
        <v>430</v>
      </c>
      <c r="J1891" s="252">
        <v>20362</v>
      </c>
      <c r="K1891" s="38">
        <f t="shared" si="114"/>
        <v>8755660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B1891" s="211"/>
    </row>
    <row r="1892" spans="1:28" ht="15.75" customHeight="1">
      <c r="A1892" s="204" t="str">
        <f>IF(B1892&lt;&gt;"",IF(AND(B1892&gt;=_TM1,B1892&lt;=_TM2,OR(TH!L1892="1111",TH!M1892="1111")),TH!D1892,""),"")</f>
        <v/>
      </c>
      <c r="B1892" s="36">
        <f t="shared" si="112"/>
        <v>2</v>
      </c>
      <c r="C1892" s="37">
        <f t="shared" si="113"/>
        <v>40962</v>
      </c>
      <c r="D1892" s="37" t="s">
        <v>1722</v>
      </c>
      <c r="E1892" s="191">
        <v>40962</v>
      </c>
      <c r="F1892" s="192" t="s">
        <v>670</v>
      </c>
      <c r="G1892" s="490" t="s">
        <v>1495</v>
      </c>
      <c r="H1892" s="7" t="s">
        <v>1700</v>
      </c>
      <c r="I1892" s="252">
        <v>1</v>
      </c>
      <c r="J1892" s="252">
        <v>8555</v>
      </c>
      <c r="K1892" s="38">
        <f t="shared" si="114"/>
        <v>8555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B1892" s="211"/>
    </row>
    <row r="1893" spans="1:28" ht="15.75" customHeight="1">
      <c r="A1893" s="204" t="str">
        <f>IF(B1893&lt;&gt;"",IF(AND(B1893&gt;=_TM1,B1893&lt;=_TM2,OR(TH!L1893="1111",TH!M1893="1111")),TH!D1893,""),"")</f>
        <v/>
      </c>
      <c r="B1893" s="36">
        <f t="shared" si="112"/>
        <v>2</v>
      </c>
      <c r="C1893" s="37">
        <f t="shared" si="113"/>
        <v>40962</v>
      </c>
      <c r="D1893" s="37" t="s">
        <v>1722</v>
      </c>
      <c r="E1893" s="191">
        <v>40962</v>
      </c>
      <c r="F1893" s="192" t="s">
        <v>670</v>
      </c>
      <c r="G1893" s="490" t="s">
        <v>1495</v>
      </c>
      <c r="H1893" s="7" t="s">
        <v>1700</v>
      </c>
      <c r="I1893" s="252">
        <v>3</v>
      </c>
      <c r="J1893" s="252">
        <v>8554</v>
      </c>
      <c r="K1893" s="38">
        <f t="shared" si="114"/>
        <v>25662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B1893" s="211"/>
    </row>
    <row r="1894" spans="1:28" ht="15.75" customHeight="1">
      <c r="A1894" s="204" t="str">
        <f>IF(B1894&lt;&gt;"",IF(AND(B1894&gt;=_TM1,B1894&lt;=_TM2,OR(TH!L1894="1111",TH!M1894="1111")),TH!D1894,""),"")</f>
        <v/>
      </c>
      <c r="B1894" s="36">
        <f t="shared" si="112"/>
        <v>2</v>
      </c>
      <c r="C1894" s="37">
        <f t="shared" si="113"/>
        <v>40962</v>
      </c>
      <c r="D1894" s="37" t="s">
        <v>1722</v>
      </c>
      <c r="E1894" s="191">
        <v>40962</v>
      </c>
      <c r="F1894" s="192" t="s">
        <v>670</v>
      </c>
      <c r="G1894" s="490" t="s">
        <v>1495</v>
      </c>
      <c r="H1894" s="7" t="s">
        <v>1700</v>
      </c>
      <c r="I1894" s="252">
        <v>0.5</v>
      </c>
      <c r="J1894" s="252">
        <v>8555</v>
      </c>
      <c r="K1894" s="38">
        <f t="shared" si="114"/>
        <v>4278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B1894" s="211"/>
    </row>
    <row r="1895" spans="1:28" ht="15.75" customHeight="1">
      <c r="A1895" s="204" t="str">
        <f>IF(B1895&lt;&gt;"",IF(AND(B1895&gt;=_TM1,B1895&lt;=_TM2,OR(TH!L1895="1111",TH!M1895="1111")),TH!D1895,""),"")</f>
        <v/>
      </c>
      <c r="B1895" s="36">
        <f t="shared" si="112"/>
        <v>2</v>
      </c>
      <c r="C1895" s="37">
        <f t="shared" si="113"/>
        <v>40962</v>
      </c>
      <c r="D1895" s="37" t="s">
        <v>1722</v>
      </c>
      <c r="E1895" s="191">
        <v>40962</v>
      </c>
      <c r="F1895" s="192" t="s">
        <v>670</v>
      </c>
      <c r="G1895" s="490" t="s">
        <v>1495</v>
      </c>
      <c r="H1895" s="7" t="s">
        <v>1700</v>
      </c>
      <c r="I1895" s="252">
        <v>1</v>
      </c>
      <c r="J1895" s="252">
        <v>8555</v>
      </c>
      <c r="K1895" s="38">
        <f t="shared" si="114"/>
        <v>8555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B1895" s="211"/>
    </row>
    <row r="1896" spans="1:28" ht="15.75" customHeight="1">
      <c r="A1896" s="204" t="str">
        <f>IF(B1896&lt;&gt;"",IF(AND(B1896&gt;=_TM1,B1896&lt;=_TM2,OR(TH!L1896="1111",TH!M1896="1111")),TH!D1896,""),"")</f>
        <v/>
      </c>
      <c r="B1896" s="36">
        <f t="shared" si="112"/>
        <v>2</v>
      </c>
      <c r="C1896" s="37">
        <f t="shared" si="113"/>
        <v>40962</v>
      </c>
      <c r="D1896" s="37" t="s">
        <v>1722</v>
      </c>
      <c r="E1896" s="191">
        <v>40962</v>
      </c>
      <c r="F1896" s="192" t="s">
        <v>670</v>
      </c>
      <c r="G1896" s="490" t="s">
        <v>1495</v>
      </c>
      <c r="H1896" s="7" t="s">
        <v>1700</v>
      </c>
      <c r="I1896" s="252">
        <v>0.5</v>
      </c>
      <c r="J1896" s="252">
        <v>8555</v>
      </c>
      <c r="K1896" s="38">
        <f t="shared" si="114"/>
        <v>4278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B1896" s="211"/>
    </row>
    <row r="1897" spans="1:28" ht="15.75" customHeight="1">
      <c r="A1897" s="204" t="str">
        <f>IF(B1897&lt;&gt;"",IF(AND(B1897&gt;=_TM1,B1897&lt;=_TM2,OR(TH!L1897="1111",TH!M1897="1111")),TH!D1897,""),"")</f>
        <v/>
      </c>
      <c r="B1897" s="36">
        <f t="shared" si="112"/>
        <v>2</v>
      </c>
      <c r="C1897" s="37">
        <f t="shared" si="113"/>
        <v>40962</v>
      </c>
      <c r="D1897" s="37" t="s">
        <v>1722</v>
      </c>
      <c r="E1897" s="191">
        <v>40962</v>
      </c>
      <c r="F1897" s="192" t="s">
        <v>670</v>
      </c>
      <c r="G1897" s="490" t="s">
        <v>1495</v>
      </c>
      <c r="H1897" s="7" t="s">
        <v>1700</v>
      </c>
      <c r="I1897" s="252">
        <v>0.5</v>
      </c>
      <c r="J1897" s="252">
        <v>8555</v>
      </c>
      <c r="K1897" s="38">
        <f t="shared" si="114"/>
        <v>4278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B1897" s="211"/>
    </row>
    <row r="1898" spans="1:28" ht="15.75" customHeight="1">
      <c r="A1898" s="204" t="str">
        <f>IF(B1898&lt;&gt;"",IF(AND(B1898&gt;=_TM1,B1898&lt;=_TM2,OR(TH!L1898="1111",TH!M1898="1111")),TH!D1898,""),"")</f>
        <v/>
      </c>
      <c r="B1898" s="36">
        <f t="shared" si="112"/>
        <v>2</v>
      </c>
      <c r="C1898" s="37">
        <f t="shared" si="113"/>
        <v>40962</v>
      </c>
      <c r="D1898" s="37" t="s">
        <v>1722</v>
      </c>
      <c r="E1898" s="191">
        <v>40962</v>
      </c>
      <c r="F1898" s="192" t="s">
        <v>670</v>
      </c>
      <c r="G1898" s="490" t="s">
        <v>1495</v>
      </c>
      <c r="H1898" s="7" t="s">
        <v>1700</v>
      </c>
      <c r="I1898" s="252">
        <v>0.5</v>
      </c>
      <c r="J1898" s="252">
        <v>8555</v>
      </c>
      <c r="K1898" s="38">
        <f t="shared" si="114"/>
        <v>4278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B1898" s="211"/>
    </row>
    <row r="1899" spans="1:28" ht="15.75" customHeight="1">
      <c r="A1899" s="204" t="str">
        <f>IF(B1899&lt;&gt;"",IF(AND(B1899&gt;=_TM1,B1899&lt;=_TM2,OR(TH!L1899="1111",TH!M1899="1111")),TH!D1899,""),"")</f>
        <v/>
      </c>
      <c r="B1899" s="36">
        <f t="shared" si="112"/>
        <v>2</v>
      </c>
      <c r="C1899" s="37">
        <f t="shared" si="113"/>
        <v>40962</v>
      </c>
      <c r="D1899" s="37" t="s">
        <v>1722</v>
      </c>
      <c r="E1899" s="191">
        <v>40962</v>
      </c>
      <c r="F1899" s="189" t="s">
        <v>1373</v>
      </c>
      <c r="G1899" s="490" t="s">
        <v>1495</v>
      </c>
      <c r="H1899" s="7" t="s">
        <v>1700</v>
      </c>
      <c r="I1899" s="252">
        <v>60</v>
      </c>
      <c r="J1899" s="252">
        <v>19567</v>
      </c>
      <c r="K1899" s="38">
        <f t="shared" si="114"/>
        <v>1174020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B1899" s="211"/>
    </row>
    <row r="1900" spans="1:28" ht="15.75" customHeight="1">
      <c r="A1900" s="204" t="str">
        <f>IF(B1900&lt;&gt;"",IF(AND(B1900&gt;=_TM1,B1900&lt;=_TM2,OR(TH!L1900="1111",TH!M1900="1111")),TH!D1900,""),"")</f>
        <v/>
      </c>
      <c r="B1900" s="36">
        <f t="shared" si="112"/>
        <v>2</v>
      </c>
      <c r="C1900" s="37">
        <f t="shared" si="113"/>
        <v>40962</v>
      </c>
      <c r="D1900" s="37" t="s">
        <v>1722</v>
      </c>
      <c r="E1900" s="191">
        <v>40962</v>
      </c>
      <c r="F1900" s="297" t="s">
        <v>1243</v>
      </c>
      <c r="G1900" s="490" t="s">
        <v>1495</v>
      </c>
      <c r="H1900" s="7" t="s">
        <v>1700</v>
      </c>
      <c r="I1900" s="252">
        <v>175</v>
      </c>
      <c r="J1900" s="252">
        <v>17533</v>
      </c>
      <c r="K1900" s="38">
        <f t="shared" si="114"/>
        <v>3068275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B1900" s="211"/>
    </row>
    <row r="1901" spans="1:28" ht="15.75" customHeight="1">
      <c r="A1901" s="204" t="str">
        <f>IF(B1901&lt;&gt;"",IF(AND(B1901&gt;=_TM1,B1901&lt;=_TM2,OR(TH!L1901="1111",TH!M1901="1111")),TH!D1901,""),"")</f>
        <v/>
      </c>
      <c r="B1901" s="36">
        <f t="shared" si="112"/>
        <v>2</v>
      </c>
      <c r="C1901" s="37">
        <f t="shared" si="113"/>
        <v>40962</v>
      </c>
      <c r="D1901" s="37" t="s">
        <v>1722</v>
      </c>
      <c r="E1901" s="191">
        <v>40962</v>
      </c>
      <c r="F1901" s="189" t="s">
        <v>1374</v>
      </c>
      <c r="G1901" s="490" t="s">
        <v>1495</v>
      </c>
      <c r="H1901" s="7" t="s">
        <v>1700</v>
      </c>
      <c r="I1901" s="252">
        <v>165</v>
      </c>
      <c r="J1901" s="252">
        <v>23783</v>
      </c>
      <c r="K1901" s="38">
        <f t="shared" si="114"/>
        <v>3924195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B1901" s="211"/>
    </row>
    <row r="1902" spans="1:28" ht="15.75" customHeight="1">
      <c r="A1902" s="204" t="str">
        <f>IF(B1902&lt;&gt;"",IF(AND(B1902&gt;=_TM1,B1902&lt;=_TM2,OR(TH!L1902="1111",TH!M1902="1111")),TH!D1902,""),"")</f>
        <v/>
      </c>
      <c r="B1902" s="36">
        <f t="shared" si="112"/>
        <v>2</v>
      </c>
      <c r="C1902" s="37">
        <f t="shared" si="113"/>
        <v>40962</v>
      </c>
      <c r="D1902" s="37" t="s">
        <v>1722</v>
      </c>
      <c r="E1902" s="191">
        <v>40962</v>
      </c>
      <c r="F1902" s="192" t="s">
        <v>1240</v>
      </c>
      <c r="G1902" s="490" t="s">
        <v>1495</v>
      </c>
      <c r="H1902" s="7" t="s">
        <v>1700</v>
      </c>
      <c r="I1902" s="252">
        <v>6</v>
      </c>
      <c r="J1902" s="252">
        <v>17374</v>
      </c>
      <c r="K1902" s="38">
        <f t="shared" si="114"/>
        <v>104244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>x</v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B1902" s="211"/>
    </row>
    <row r="1903" spans="1:28" ht="15.75" customHeight="1">
      <c r="A1903" s="204" t="str">
        <f>IF(B1903&lt;&gt;"",IF(AND(B1903&gt;=_TM1,B1903&lt;=_TM2,OR(TH!L1903="1111",TH!M1903="1111")),TH!D1903,""),"")</f>
        <v/>
      </c>
      <c r="B1903" s="36">
        <f t="shared" si="112"/>
        <v>2</v>
      </c>
      <c r="C1903" s="37">
        <f t="shared" si="113"/>
        <v>40962</v>
      </c>
      <c r="D1903" s="37" t="s">
        <v>1722</v>
      </c>
      <c r="E1903" s="191">
        <v>40962</v>
      </c>
      <c r="F1903" s="192" t="s">
        <v>670</v>
      </c>
      <c r="G1903" s="490" t="s">
        <v>1495</v>
      </c>
      <c r="H1903" s="7" t="s">
        <v>1700</v>
      </c>
      <c r="I1903" s="252">
        <v>10</v>
      </c>
      <c r="J1903" s="252">
        <v>8555</v>
      </c>
      <c r="K1903" s="38">
        <f t="shared" si="114"/>
        <v>85550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customHeight="1">
      <c r="A1904" s="204" t="str">
        <f>IF(B1904&lt;&gt;"",IF(AND(B1904&gt;=_TM1,B1904&lt;=_TM2,OR(TH!L1904="1111",TH!M1904="1111")),TH!D1904,""),"")</f>
        <v/>
      </c>
      <c r="B1904" s="36">
        <f t="shared" si="112"/>
        <v>2</v>
      </c>
      <c r="C1904" s="37">
        <f t="shared" si="113"/>
        <v>40962</v>
      </c>
      <c r="D1904" s="37" t="s">
        <v>1722</v>
      </c>
      <c r="E1904" s="191">
        <v>40962</v>
      </c>
      <c r="F1904" s="189" t="s">
        <v>1256</v>
      </c>
      <c r="G1904" s="490" t="s">
        <v>1495</v>
      </c>
      <c r="H1904" s="7" t="s">
        <v>1700</v>
      </c>
      <c r="I1904" s="252">
        <v>10</v>
      </c>
      <c r="J1904" s="252">
        <v>19004</v>
      </c>
      <c r="K1904" s="38">
        <f t="shared" si="114"/>
        <v>190040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customHeight="1">
      <c r="A1905" s="204" t="str">
        <f>IF(B1905&lt;&gt;"",IF(AND(B1905&gt;=_TM1,B1905&lt;=_TM2,OR(TH!L1905="1111",TH!M1905="1111")),TH!D1905,""),"")</f>
        <v/>
      </c>
      <c r="B1905" s="36">
        <f t="shared" si="112"/>
        <v>2</v>
      </c>
      <c r="C1905" s="37">
        <f t="shared" si="113"/>
        <v>40962</v>
      </c>
      <c r="D1905" s="37" t="s">
        <v>1722</v>
      </c>
      <c r="E1905" s="191">
        <v>40962</v>
      </c>
      <c r="F1905" s="189" t="s">
        <v>1373</v>
      </c>
      <c r="G1905" s="490" t="s">
        <v>1495</v>
      </c>
      <c r="H1905" s="7" t="s">
        <v>1700</v>
      </c>
      <c r="I1905" s="252">
        <v>35</v>
      </c>
      <c r="J1905" s="252">
        <v>19567</v>
      </c>
      <c r="K1905" s="38">
        <f t="shared" si="114"/>
        <v>684845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customHeight="1">
      <c r="A1906" s="204" t="str">
        <f>IF(B1906&lt;&gt;"",IF(AND(B1906&gt;=_TM1,B1906&lt;=_TM2,OR(TH!L1906="1111",TH!M1906="1111")),TH!D1906,""),"")</f>
        <v/>
      </c>
      <c r="B1906" s="36">
        <f t="shared" si="112"/>
        <v>2</v>
      </c>
      <c r="C1906" s="37">
        <f t="shared" si="113"/>
        <v>40962</v>
      </c>
      <c r="D1906" s="37" t="s">
        <v>1722</v>
      </c>
      <c r="E1906" s="191">
        <v>40962</v>
      </c>
      <c r="F1906" s="192" t="s">
        <v>670</v>
      </c>
      <c r="G1906" s="490" t="s">
        <v>1495</v>
      </c>
      <c r="H1906" s="7" t="s">
        <v>1700</v>
      </c>
      <c r="I1906" s="252">
        <v>13</v>
      </c>
      <c r="J1906" s="252">
        <v>8555</v>
      </c>
      <c r="K1906" s="38">
        <f t="shared" si="114"/>
        <v>111215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customHeight="1">
      <c r="A1907" s="204" t="str">
        <f>IF(B1907&lt;&gt;"",IF(AND(B1907&gt;=_TM1,B1907&lt;=_TM2,OR(TH!L1907="1111",TH!M1907="1111")),TH!D1907,""),"")</f>
        <v/>
      </c>
      <c r="B1907" s="732">
        <f t="shared" si="112"/>
        <v>2</v>
      </c>
      <c r="C1907" s="37">
        <f t="shared" si="113"/>
        <v>40962</v>
      </c>
      <c r="D1907" s="37" t="s">
        <v>1722</v>
      </c>
      <c r="E1907" s="191">
        <v>40962</v>
      </c>
      <c r="F1907" s="189" t="s">
        <v>1246</v>
      </c>
      <c r="G1907" s="490" t="s">
        <v>1495</v>
      </c>
      <c r="H1907" s="7" t="s">
        <v>1700</v>
      </c>
      <c r="I1907" s="252">
        <v>28</v>
      </c>
      <c r="J1907" s="252">
        <v>11435</v>
      </c>
      <c r="K1907" s="38">
        <f t="shared" si="114"/>
        <v>320180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49"/>
      <c r="AB1907" s="211"/>
    </row>
    <row r="1908" spans="1:28" ht="15.75" customHeight="1">
      <c r="A1908" s="204" t="str">
        <f>IF(B1908&lt;&gt;"",IF(AND(B1908&gt;=_TM1,B1908&lt;=_TM2,OR(TH!L1908="1111",TH!M1908="1111")),TH!D1908,""),"")</f>
        <v/>
      </c>
      <c r="B1908" s="732">
        <f t="shared" si="112"/>
        <v>2</v>
      </c>
      <c r="C1908" s="37">
        <f t="shared" si="113"/>
        <v>40962</v>
      </c>
      <c r="D1908" s="37" t="s">
        <v>1722</v>
      </c>
      <c r="E1908" s="191">
        <v>40962</v>
      </c>
      <c r="F1908" s="189" t="s">
        <v>1371</v>
      </c>
      <c r="G1908" s="490" t="s">
        <v>1495</v>
      </c>
      <c r="H1908" s="7" t="s">
        <v>1700</v>
      </c>
      <c r="I1908" s="252">
        <v>14</v>
      </c>
      <c r="J1908" s="252">
        <v>20362</v>
      </c>
      <c r="K1908" s="38">
        <f t="shared" si="114"/>
        <v>285068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49"/>
      <c r="AB1908" s="211"/>
    </row>
    <row r="1909" spans="1:28" ht="15.75" customHeight="1">
      <c r="A1909" s="204" t="str">
        <f>IF(B1909&lt;&gt;"",IF(AND(B1909&gt;=_TM1,B1909&lt;=_TM2,OR(TH!L1909="1111",TH!M1909="1111")),TH!D1909,""),"")</f>
        <v/>
      </c>
      <c r="B1909" s="732">
        <f t="shared" si="112"/>
        <v>2</v>
      </c>
      <c r="C1909" s="37">
        <f t="shared" si="113"/>
        <v>40962</v>
      </c>
      <c r="D1909" s="37" t="s">
        <v>1722</v>
      </c>
      <c r="E1909" s="191">
        <v>40962</v>
      </c>
      <c r="F1909" s="192" t="s">
        <v>670</v>
      </c>
      <c r="G1909" s="490" t="s">
        <v>1495</v>
      </c>
      <c r="H1909" s="7" t="s">
        <v>1700</v>
      </c>
      <c r="I1909" s="252">
        <v>3.5</v>
      </c>
      <c r="J1909" s="252">
        <v>8555</v>
      </c>
      <c r="K1909" s="38">
        <f t="shared" si="114"/>
        <v>29943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49"/>
      <c r="AB1909" s="211"/>
    </row>
    <row r="1910" spans="1:28" ht="15.75" customHeight="1">
      <c r="A1910" s="204" t="str">
        <f>IF(B1910&lt;&gt;"",IF(AND(B1910&gt;=_TM1,B1910&lt;=_TM2,OR(TH!L1910="1111",TH!M1910="1111")),TH!D1910,""),"")</f>
        <v/>
      </c>
      <c r="B1910" s="732">
        <f t="shared" si="112"/>
        <v>2</v>
      </c>
      <c r="C1910" s="37">
        <f t="shared" si="113"/>
        <v>40962</v>
      </c>
      <c r="D1910" s="37" t="s">
        <v>1722</v>
      </c>
      <c r="E1910" s="191">
        <v>40962</v>
      </c>
      <c r="F1910" s="192" t="s">
        <v>670</v>
      </c>
      <c r="G1910" s="490" t="s">
        <v>1495</v>
      </c>
      <c r="H1910" s="7" t="s">
        <v>1700</v>
      </c>
      <c r="I1910" s="252">
        <v>2.5</v>
      </c>
      <c r="J1910" s="252">
        <v>8555</v>
      </c>
      <c r="K1910" s="38">
        <f t="shared" si="114"/>
        <v>21388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49"/>
      <c r="AB1910" s="211"/>
    </row>
    <row r="1911" spans="1:28" ht="15.75" customHeight="1">
      <c r="A1911" s="204" t="str">
        <f>IF(B1911&lt;&gt;"",IF(AND(B1911&gt;=_TM1,B1911&lt;=_TM2,OR(TH!L1911="1111",TH!M1911="1111")),TH!D1911,""),"")</f>
        <v/>
      </c>
      <c r="B1911" s="732">
        <f t="shared" si="112"/>
        <v>2</v>
      </c>
      <c r="C1911" s="37">
        <f t="shared" si="113"/>
        <v>40962</v>
      </c>
      <c r="D1911" s="37" t="s">
        <v>1722</v>
      </c>
      <c r="E1911" s="191">
        <v>40962</v>
      </c>
      <c r="F1911" s="192" t="s">
        <v>1240</v>
      </c>
      <c r="G1911" s="490" t="s">
        <v>1495</v>
      </c>
      <c r="H1911" s="7" t="s">
        <v>1700</v>
      </c>
      <c r="I1911" s="252">
        <v>2</v>
      </c>
      <c r="J1911" s="252">
        <v>17374</v>
      </c>
      <c r="K1911" s="38">
        <f t="shared" si="114"/>
        <v>34748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>x</v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49"/>
      <c r="AB1911" s="211"/>
    </row>
    <row r="1912" spans="1:28" ht="15.75" customHeight="1">
      <c r="A1912" s="204" t="str">
        <f>IF(B1912&lt;&gt;"",IF(AND(B1912&gt;=_TM1,B1912&lt;=_TM2,OR(TH!L1912="1111",TH!M1912="1111")),TH!D1912,""),"")</f>
        <v/>
      </c>
      <c r="B1912" s="732">
        <f t="shared" si="112"/>
        <v>2</v>
      </c>
      <c r="C1912" s="37">
        <f t="shared" si="113"/>
        <v>40962</v>
      </c>
      <c r="D1912" s="37" t="s">
        <v>1722</v>
      </c>
      <c r="E1912" s="191">
        <v>40962</v>
      </c>
      <c r="F1912" s="192" t="s">
        <v>670</v>
      </c>
      <c r="G1912" s="490" t="s">
        <v>1495</v>
      </c>
      <c r="H1912" s="7" t="s">
        <v>1700</v>
      </c>
      <c r="I1912" s="252">
        <v>1</v>
      </c>
      <c r="J1912" s="252">
        <v>8555</v>
      </c>
      <c r="K1912" s="38">
        <f t="shared" si="114"/>
        <v>8555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49"/>
      <c r="AB1912" s="211"/>
    </row>
    <row r="1913" spans="1:28" ht="15.75" customHeight="1">
      <c r="A1913" s="204" t="str">
        <f>IF(B1913&lt;&gt;"",IF(AND(B1913&gt;=_TM1,B1913&lt;=_TM2,OR(TH!L1913="1111",TH!M1913="1111")),TH!D1913,""),"")</f>
        <v/>
      </c>
      <c r="B1913" s="732">
        <f t="shared" si="112"/>
        <v>2</v>
      </c>
      <c r="C1913" s="37">
        <f t="shared" si="113"/>
        <v>40962</v>
      </c>
      <c r="D1913" s="37" t="s">
        <v>1722</v>
      </c>
      <c r="E1913" s="191">
        <v>40962</v>
      </c>
      <c r="F1913" s="189" t="s">
        <v>617</v>
      </c>
      <c r="G1913" s="490" t="s">
        <v>1495</v>
      </c>
      <c r="H1913" s="7" t="s">
        <v>1700</v>
      </c>
      <c r="I1913" s="252">
        <v>4</v>
      </c>
      <c r="J1913" s="252">
        <v>15385</v>
      </c>
      <c r="K1913" s="38">
        <f t="shared" si="114"/>
        <v>61540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49"/>
      <c r="AB1913" s="211"/>
    </row>
    <row r="1914" spans="1:28" ht="15.75" customHeight="1">
      <c r="A1914" s="204" t="str">
        <f>IF(B1914&lt;&gt;"",IF(AND(B1914&gt;=_TM1,B1914&lt;=_TM2,OR(TH!L1914="1111",TH!M1914="1111")),TH!D1914,""),"")</f>
        <v/>
      </c>
      <c r="B1914" s="732">
        <f t="shared" si="112"/>
        <v>2</v>
      </c>
      <c r="C1914" s="37">
        <f t="shared" si="113"/>
        <v>40962</v>
      </c>
      <c r="D1914" s="37" t="s">
        <v>1722</v>
      </c>
      <c r="E1914" s="191">
        <v>40962</v>
      </c>
      <c r="F1914" s="189" t="s">
        <v>617</v>
      </c>
      <c r="G1914" s="490" t="s">
        <v>1495</v>
      </c>
      <c r="H1914" s="7" t="s">
        <v>1700</v>
      </c>
      <c r="I1914" s="252">
        <v>4</v>
      </c>
      <c r="J1914" s="252">
        <v>15385</v>
      </c>
      <c r="K1914" s="38">
        <f t="shared" si="114"/>
        <v>61540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49"/>
      <c r="AB1914" s="211"/>
    </row>
    <row r="1915" spans="1:28" ht="15.75" customHeight="1">
      <c r="A1915" s="204" t="str">
        <f>IF(B1915&lt;&gt;"",IF(AND(B1915&gt;=_TM1,B1915&lt;=_TM2,OR(TH!L1915="1111",TH!M1915="1111")),TH!D1915,""),"")</f>
        <v/>
      </c>
      <c r="B1915" s="732">
        <f t="shared" si="112"/>
        <v>2</v>
      </c>
      <c r="C1915" s="37">
        <f t="shared" si="113"/>
        <v>40962</v>
      </c>
      <c r="D1915" s="37" t="s">
        <v>1722</v>
      </c>
      <c r="E1915" s="191">
        <v>40962</v>
      </c>
      <c r="F1915" s="189" t="s">
        <v>617</v>
      </c>
      <c r="G1915" s="490" t="s">
        <v>1495</v>
      </c>
      <c r="H1915" s="7" t="s">
        <v>1700</v>
      </c>
      <c r="I1915" s="252">
        <v>10</v>
      </c>
      <c r="J1915" s="252">
        <v>15385</v>
      </c>
      <c r="K1915" s="38">
        <f t="shared" si="114"/>
        <v>153850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49"/>
      <c r="AB1915" s="211"/>
    </row>
    <row r="1916" spans="1:28" ht="15.75" customHeight="1">
      <c r="A1916" s="204" t="str">
        <f>IF(B1916&lt;&gt;"",IF(AND(B1916&gt;=_TM1,B1916&lt;=_TM2,OR(TH!L1916="1111",TH!M1916="1111")),TH!D1916,""),"")</f>
        <v/>
      </c>
      <c r="B1916" s="732">
        <f t="shared" si="112"/>
        <v>2</v>
      </c>
      <c r="C1916" s="37">
        <f t="shared" si="113"/>
        <v>40962</v>
      </c>
      <c r="D1916" s="37" t="s">
        <v>1722</v>
      </c>
      <c r="E1916" s="191">
        <v>40962</v>
      </c>
      <c r="F1916" s="192" t="s">
        <v>663</v>
      </c>
      <c r="G1916" s="490" t="s">
        <v>1495</v>
      </c>
      <c r="H1916" s="7" t="s">
        <v>1700</v>
      </c>
      <c r="I1916" s="252">
        <v>270</v>
      </c>
      <c r="J1916" s="252">
        <v>28538</v>
      </c>
      <c r="K1916" s="38">
        <f t="shared" si="114"/>
        <v>7705260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49"/>
      <c r="AB1916" s="211"/>
    </row>
    <row r="1917" spans="1:28" ht="15.75" customHeight="1">
      <c r="A1917" s="204" t="str">
        <f>IF(B1917&lt;&gt;"",IF(AND(B1917&gt;=_TM1,B1917&lt;=_TM2,OR(TH!L1917="1111",TH!M1917="1111")),TH!D1917,""),"")</f>
        <v/>
      </c>
      <c r="B1917" s="732">
        <f t="shared" si="112"/>
        <v>2</v>
      </c>
      <c r="C1917" s="37">
        <f t="shared" si="113"/>
        <v>40962</v>
      </c>
      <c r="D1917" s="37" t="s">
        <v>1722</v>
      </c>
      <c r="E1917" s="191">
        <v>40962</v>
      </c>
      <c r="F1917" s="189" t="s">
        <v>645</v>
      </c>
      <c r="G1917" s="490" t="s">
        <v>1495</v>
      </c>
      <c r="H1917" s="7" t="s">
        <v>1700</v>
      </c>
      <c r="I1917" s="252">
        <v>80</v>
      </c>
      <c r="J1917" s="252">
        <v>23748</v>
      </c>
      <c r="K1917" s="38">
        <f t="shared" si="114"/>
        <v>1899840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49"/>
      <c r="AB1917" s="211"/>
    </row>
    <row r="1918" spans="1:28" ht="15.75" customHeight="1">
      <c r="A1918" s="204" t="str">
        <f>IF(B1918&lt;&gt;"",IF(AND(B1918&gt;=_TM1,B1918&lt;=_TM2,OR(TH!L1918="1111",TH!M1918="1111")),TH!D1918,""),"")</f>
        <v/>
      </c>
      <c r="B1918" s="732">
        <f t="shared" si="112"/>
        <v>2</v>
      </c>
      <c r="C1918" s="37">
        <f t="shared" si="113"/>
        <v>40962</v>
      </c>
      <c r="D1918" s="37" t="s">
        <v>1722</v>
      </c>
      <c r="E1918" s="191">
        <v>40962</v>
      </c>
      <c r="F1918" s="189" t="s">
        <v>617</v>
      </c>
      <c r="G1918" s="490" t="s">
        <v>1495</v>
      </c>
      <c r="H1918" s="7" t="s">
        <v>1700</v>
      </c>
      <c r="I1918" s="252">
        <v>2</v>
      </c>
      <c r="J1918" s="252">
        <v>15385</v>
      </c>
      <c r="K1918" s="38">
        <f t="shared" si="114"/>
        <v>30770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49"/>
      <c r="AB1918" s="211"/>
    </row>
    <row r="1919" spans="1:28" ht="15.75" customHeight="1">
      <c r="A1919" s="204" t="str">
        <f>IF(B1919&lt;&gt;"",IF(AND(B1919&gt;=_TM1,B1919&lt;=_TM2,OR(TH!L1919="1111",TH!M1919="1111")),TH!D1919,""),"")</f>
        <v/>
      </c>
      <c r="B1919" s="732">
        <f t="shared" si="112"/>
        <v>2</v>
      </c>
      <c r="C1919" s="37">
        <f t="shared" si="113"/>
        <v>40965</v>
      </c>
      <c r="D1919" s="37" t="s">
        <v>1723</v>
      </c>
      <c r="E1919" s="191">
        <v>40965</v>
      </c>
      <c r="F1919" s="189" t="s">
        <v>617</v>
      </c>
      <c r="G1919" s="490" t="s">
        <v>1521</v>
      </c>
      <c r="H1919" s="7" t="s">
        <v>1700</v>
      </c>
      <c r="I1919" s="252">
        <v>9</v>
      </c>
      <c r="J1919" s="252">
        <v>15385</v>
      </c>
      <c r="K1919" s="38">
        <f t="shared" si="114"/>
        <v>138465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49"/>
      <c r="AB1919" s="211"/>
    </row>
    <row r="1920" spans="1:28" ht="15.75" customHeight="1">
      <c r="A1920" s="204" t="str">
        <f>IF(B1920&lt;&gt;"",IF(AND(B1920&gt;=_TM1,B1920&lt;=_TM2,OR(TH!L1920="1111",TH!M1920="1111")),TH!D1920,""),"")</f>
        <v/>
      </c>
      <c r="B1920" s="732">
        <f t="shared" si="112"/>
        <v>2</v>
      </c>
      <c r="C1920" s="37">
        <f t="shared" si="113"/>
        <v>40965</v>
      </c>
      <c r="D1920" s="37" t="s">
        <v>1723</v>
      </c>
      <c r="E1920" s="191">
        <v>40965</v>
      </c>
      <c r="F1920" s="192" t="s">
        <v>670</v>
      </c>
      <c r="G1920" s="490" t="s">
        <v>1521</v>
      </c>
      <c r="H1920" s="7" t="s">
        <v>1700</v>
      </c>
      <c r="I1920" s="252">
        <v>1</v>
      </c>
      <c r="J1920" s="252">
        <v>8555</v>
      </c>
      <c r="K1920" s="38">
        <f t="shared" si="114"/>
        <v>8555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49"/>
      <c r="AB1920" s="211"/>
    </row>
    <row r="1921" spans="1:28" ht="15.75" customHeight="1">
      <c r="A1921" s="204" t="str">
        <f>IF(B1921&lt;&gt;"",IF(AND(B1921&gt;=_TM1,B1921&lt;=_TM2,OR(TH!L1921="1111",TH!M1921="1111")),TH!D1921,""),"")</f>
        <v/>
      </c>
      <c r="B1921" s="732">
        <f t="shared" si="112"/>
        <v>2</v>
      </c>
      <c r="C1921" s="37">
        <f t="shared" si="113"/>
        <v>40965</v>
      </c>
      <c r="D1921" s="37" t="s">
        <v>1723</v>
      </c>
      <c r="E1921" s="191">
        <v>40965</v>
      </c>
      <c r="F1921" s="192" t="s">
        <v>670</v>
      </c>
      <c r="G1921" s="490" t="s">
        <v>1521</v>
      </c>
      <c r="H1921" s="7" t="s">
        <v>1700</v>
      </c>
      <c r="I1921" s="252">
        <v>1</v>
      </c>
      <c r="J1921" s="252">
        <v>8555</v>
      </c>
      <c r="K1921" s="38">
        <f t="shared" si="114"/>
        <v>8555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49"/>
      <c r="AB1921" s="211"/>
    </row>
    <row r="1922" spans="1:28" ht="15.75" customHeight="1">
      <c r="A1922" s="204" t="str">
        <f>IF(B1922&lt;&gt;"",IF(AND(B1922&gt;=_TM1,B1922&lt;=_TM2,OR(TH!L1922="1111",TH!M1922="1111")),TH!D1922,""),"")</f>
        <v/>
      </c>
      <c r="B1922" s="732">
        <f t="shared" si="112"/>
        <v>2</v>
      </c>
      <c r="C1922" s="37">
        <f t="shared" si="113"/>
        <v>40965</v>
      </c>
      <c r="D1922" s="37" t="s">
        <v>1723</v>
      </c>
      <c r="E1922" s="191">
        <v>40965</v>
      </c>
      <c r="F1922" s="192" t="s">
        <v>670</v>
      </c>
      <c r="G1922" s="490" t="s">
        <v>1521</v>
      </c>
      <c r="H1922" s="7" t="s">
        <v>1700</v>
      </c>
      <c r="I1922" s="252">
        <v>3</v>
      </c>
      <c r="J1922" s="252">
        <v>8555</v>
      </c>
      <c r="K1922" s="38">
        <f t="shared" si="114"/>
        <v>25665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49"/>
      <c r="AB1922" s="211"/>
    </row>
    <row r="1923" spans="1:28" s="849" customFormat="1" ht="15.75" customHeight="1">
      <c r="A1923" s="204" t="str">
        <f>IF(B1923&lt;&gt;"",IF(AND(B1923&gt;=_TM1,B1923&lt;=_TM2,OR(TH!L1923="1111",TH!M1923="1111")),TH!D1923,""),"")</f>
        <v/>
      </c>
      <c r="B1923" s="732">
        <f t="shared" ref="B1923:B1986" si="115">IF(C1923&lt;&gt;"",MONTH(C1923),"")</f>
        <v>2</v>
      </c>
      <c r="C1923" s="37">
        <f t="shared" si="113"/>
        <v>40965</v>
      </c>
      <c r="D1923" s="37" t="s">
        <v>1723</v>
      </c>
      <c r="E1923" s="191">
        <v>40965</v>
      </c>
      <c r="F1923" s="192" t="s">
        <v>670</v>
      </c>
      <c r="G1923" s="490" t="s">
        <v>1521</v>
      </c>
      <c r="H1923" s="7" t="s">
        <v>1700</v>
      </c>
      <c r="I1923" s="252">
        <v>1</v>
      </c>
      <c r="J1923" s="252">
        <v>8555</v>
      </c>
      <c r="K1923" s="38">
        <f t="shared" si="114"/>
        <v>8555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s="849" customFormat="1" ht="15.75" customHeight="1">
      <c r="A1924" s="204" t="str">
        <f>IF(B1924&lt;&gt;"",IF(AND(B1924&gt;=_TM1,B1924&lt;=_TM2,OR(TH!L1924="1111",TH!M1924="1111")),TH!D1924,""),"")</f>
        <v/>
      </c>
      <c r="B1924" s="732">
        <f t="shared" si="115"/>
        <v>2</v>
      </c>
      <c r="C1924" s="37">
        <f t="shared" si="113"/>
        <v>40965</v>
      </c>
      <c r="D1924" s="37" t="s">
        <v>1723</v>
      </c>
      <c r="E1924" s="191">
        <v>40965</v>
      </c>
      <c r="F1924" s="192" t="s">
        <v>670</v>
      </c>
      <c r="G1924" s="490" t="s">
        <v>1521</v>
      </c>
      <c r="H1924" s="7" t="s">
        <v>1700</v>
      </c>
      <c r="I1924" s="252">
        <v>2</v>
      </c>
      <c r="J1924" s="252">
        <v>8555</v>
      </c>
      <c r="K1924" s="38">
        <f t="shared" si="114"/>
        <v>17110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s="849" customFormat="1" ht="15.75" customHeight="1">
      <c r="A1925" s="204" t="str">
        <f>IF(B1925&lt;&gt;"",IF(AND(B1925&gt;=_TM1,B1925&lt;=_TM2,OR(TH!L1925="1111",TH!M1925="1111")),TH!D1925,""),"")</f>
        <v/>
      </c>
      <c r="B1925" s="732">
        <f t="shared" si="115"/>
        <v>2</v>
      </c>
      <c r="C1925" s="37">
        <f t="shared" si="113"/>
        <v>40965</v>
      </c>
      <c r="D1925" s="37" t="s">
        <v>1723</v>
      </c>
      <c r="E1925" s="191">
        <v>40965</v>
      </c>
      <c r="F1925" s="192" t="s">
        <v>670</v>
      </c>
      <c r="G1925" s="490" t="s">
        <v>1521</v>
      </c>
      <c r="H1925" s="7" t="s">
        <v>1700</v>
      </c>
      <c r="I1925" s="252">
        <v>2</v>
      </c>
      <c r="J1925" s="252">
        <v>8555</v>
      </c>
      <c r="K1925" s="38">
        <f t="shared" si="114"/>
        <v>17110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s="849" customFormat="1" ht="15.75" customHeight="1">
      <c r="A1926" s="204" t="str">
        <f>IF(B1926&lt;&gt;"",IF(AND(B1926&gt;=_TM1,B1926&lt;=_TM2,OR(TH!L1926="1111",TH!M1926="1111")),TH!D1926,""),"")</f>
        <v/>
      </c>
      <c r="B1926" s="732">
        <f t="shared" si="115"/>
        <v>2</v>
      </c>
      <c r="C1926" s="37">
        <f t="shared" si="113"/>
        <v>40965</v>
      </c>
      <c r="D1926" s="37" t="s">
        <v>1723</v>
      </c>
      <c r="E1926" s="191">
        <v>40965</v>
      </c>
      <c r="F1926" s="189" t="s">
        <v>607</v>
      </c>
      <c r="G1926" s="490" t="s">
        <v>1521</v>
      </c>
      <c r="H1926" s="7" t="s">
        <v>1700</v>
      </c>
      <c r="I1926" s="252">
        <v>22</v>
      </c>
      <c r="J1926" s="252">
        <v>17626</v>
      </c>
      <c r="K1926" s="38">
        <f t="shared" si="114"/>
        <v>387772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s="849" customFormat="1" ht="15.75" customHeight="1">
      <c r="A1927" s="204" t="str">
        <f>IF(B1927&lt;&gt;"",IF(AND(B1927&gt;=_TM1,B1927&lt;=_TM2,OR(TH!L1927="1111",TH!M1927="1111")),TH!D1927,""),"")</f>
        <v/>
      </c>
      <c r="B1927" s="732">
        <f t="shared" si="115"/>
        <v>2</v>
      </c>
      <c r="C1927" s="37">
        <f t="shared" si="113"/>
        <v>40965</v>
      </c>
      <c r="D1927" s="37" t="s">
        <v>1723</v>
      </c>
      <c r="E1927" s="191">
        <v>40965</v>
      </c>
      <c r="F1927" s="192" t="s">
        <v>670</v>
      </c>
      <c r="G1927" s="490" t="s">
        <v>1521</v>
      </c>
      <c r="H1927" s="7" t="s">
        <v>1700</v>
      </c>
      <c r="I1927" s="252">
        <v>1</v>
      </c>
      <c r="J1927" s="252">
        <v>8555</v>
      </c>
      <c r="K1927" s="38">
        <f t="shared" si="114"/>
        <v>8555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s="849" customFormat="1" ht="15.75" customHeight="1">
      <c r="A1928" s="204" t="str">
        <f>IF(B1928&lt;&gt;"",IF(AND(B1928&gt;=_TM1,B1928&lt;=_TM2,OR(TH!L1928="1111",TH!M1928="1111")),TH!D1928,""),"")</f>
        <v/>
      </c>
      <c r="B1928" s="732">
        <f t="shared" si="115"/>
        <v>2</v>
      </c>
      <c r="C1928" s="37">
        <f t="shared" si="113"/>
        <v>40965</v>
      </c>
      <c r="D1928" s="37" t="s">
        <v>1723</v>
      </c>
      <c r="E1928" s="191">
        <v>40965</v>
      </c>
      <c r="F1928" s="189" t="s">
        <v>640</v>
      </c>
      <c r="G1928" s="490" t="s">
        <v>1521</v>
      </c>
      <c r="H1928" s="7" t="s">
        <v>1700</v>
      </c>
      <c r="I1928" s="252">
        <v>30</v>
      </c>
      <c r="J1928" s="252">
        <v>14151</v>
      </c>
      <c r="K1928" s="38">
        <f t="shared" si="114"/>
        <v>424530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s="849" customFormat="1" ht="15.75" customHeight="1">
      <c r="A1929" s="204" t="str">
        <f>IF(B1929&lt;&gt;"",IF(AND(B1929&gt;=_TM1,B1929&lt;=_TM2,OR(TH!L1929="1111",TH!M1929="1111")),TH!D1929,""),"")</f>
        <v/>
      </c>
      <c r="B1929" s="732">
        <f t="shared" si="115"/>
        <v>2</v>
      </c>
      <c r="C1929" s="37">
        <f t="shared" si="113"/>
        <v>40965</v>
      </c>
      <c r="D1929" s="37" t="s">
        <v>1723</v>
      </c>
      <c r="E1929" s="191">
        <v>40965</v>
      </c>
      <c r="F1929" s="189" t="s">
        <v>1373</v>
      </c>
      <c r="G1929" s="490" t="s">
        <v>1521</v>
      </c>
      <c r="H1929" s="7" t="s">
        <v>1700</v>
      </c>
      <c r="I1929" s="252">
        <v>55</v>
      </c>
      <c r="J1929" s="252">
        <v>19567</v>
      </c>
      <c r="K1929" s="38">
        <f t="shared" si="114"/>
        <v>1076185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s="849" customFormat="1" ht="15.75" customHeight="1">
      <c r="A1930" s="204" t="str">
        <f>IF(B1930&lt;&gt;"",IF(AND(B1930&gt;=_TM1,B1930&lt;=_TM2,OR(TH!L1930="1111",TH!M1930="1111")),TH!D1930,""),"")</f>
        <v/>
      </c>
      <c r="B1930" s="732">
        <f t="shared" si="115"/>
        <v>2</v>
      </c>
      <c r="C1930" s="37">
        <f t="shared" si="113"/>
        <v>40965</v>
      </c>
      <c r="D1930" s="37" t="s">
        <v>1723</v>
      </c>
      <c r="E1930" s="191">
        <v>40965</v>
      </c>
      <c r="F1930" s="189" t="s">
        <v>1373</v>
      </c>
      <c r="G1930" s="490" t="s">
        <v>1521</v>
      </c>
      <c r="H1930" s="7" t="s">
        <v>1700</v>
      </c>
      <c r="I1930" s="252">
        <v>20</v>
      </c>
      <c r="J1930" s="252">
        <v>19567</v>
      </c>
      <c r="K1930" s="38">
        <f t="shared" si="114"/>
        <v>391340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s="849" customFormat="1" ht="15.75" customHeight="1">
      <c r="A1931" s="204" t="str">
        <f>IF(B1931&lt;&gt;"",IF(AND(B1931&gt;=_TM1,B1931&lt;=_TM2,OR(TH!L1931="1111",TH!M1931="1111")),TH!D1931,""),"")</f>
        <v/>
      </c>
      <c r="B1931" s="732">
        <f t="shared" si="115"/>
        <v>2</v>
      </c>
      <c r="C1931" s="37">
        <f t="shared" si="113"/>
        <v>40965</v>
      </c>
      <c r="D1931" s="37" t="s">
        <v>1723</v>
      </c>
      <c r="E1931" s="191">
        <v>40965</v>
      </c>
      <c r="F1931" s="189" t="s">
        <v>642</v>
      </c>
      <c r="G1931" s="490" t="s">
        <v>1521</v>
      </c>
      <c r="H1931" s="7" t="s">
        <v>1700</v>
      </c>
      <c r="I1931" s="252">
        <v>350</v>
      </c>
      <c r="J1931" s="252">
        <v>16660</v>
      </c>
      <c r="K1931" s="38">
        <f t="shared" si="114"/>
        <v>5831000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s="849" customFormat="1" ht="15.75" customHeight="1">
      <c r="A1932" s="204" t="str">
        <f>IF(B1932&lt;&gt;"",IF(AND(B1932&gt;=_TM1,B1932&lt;=_TM2,OR(TH!L1932="1111",TH!M1932="1111")),TH!D1932,""),"")</f>
        <v/>
      </c>
      <c r="B1932" s="732">
        <f t="shared" si="115"/>
        <v>2</v>
      </c>
      <c r="C1932" s="37">
        <f t="shared" si="113"/>
        <v>40965</v>
      </c>
      <c r="D1932" s="37" t="s">
        <v>1723</v>
      </c>
      <c r="E1932" s="191">
        <v>40965</v>
      </c>
      <c r="F1932" s="189" t="s">
        <v>641</v>
      </c>
      <c r="G1932" s="490" t="s">
        <v>1521</v>
      </c>
      <c r="H1932" s="7" t="s">
        <v>1700</v>
      </c>
      <c r="I1932" s="252">
        <v>248</v>
      </c>
      <c r="J1932" s="252">
        <v>22315</v>
      </c>
      <c r="K1932" s="38">
        <f t="shared" si="114"/>
        <v>5534120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s="849" customFormat="1" ht="15.75" customHeight="1">
      <c r="A1933" s="204" t="str">
        <f>IF(B1933&lt;&gt;"",IF(AND(B1933&gt;=_TM1,B1933&lt;=_TM2,OR(TH!L1933="1111",TH!M1933="1111")),TH!D1933,""),"")</f>
        <v/>
      </c>
      <c r="B1933" s="732">
        <f t="shared" si="115"/>
        <v>2</v>
      </c>
      <c r="C1933" s="37">
        <f t="shared" si="113"/>
        <v>40965</v>
      </c>
      <c r="D1933" s="37" t="s">
        <v>1723</v>
      </c>
      <c r="E1933" s="191">
        <v>40965</v>
      </c>
      <c r="F1933" s="192" t="s">
        <v>1240</v>
      </c>
      <c r="G1933" s="490" t="s">
        <v>1521</v>
      </c>
      <c r="H1933" s="7" t="s">
        <v>1700</v>
      </c>
      <c r="I1933" s="252">
        <v>3</v>
      </c>
      <c r="J1933" s="252">
        <v>17374</v>
      </c>
      <c r="K1933" s="38">
        <f t="shared" si="114"/>
        <v>52122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>x</v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s="849" customFormat="1" ht="15.75" customHeight="1">
      <c r="A1934" s="204" t="str">
        <f>IF(B1934&lt;&gt;"",IF(AND(B1934&gt;=_TM1,B1934&lt;=_TM2,OR(TH!L1934="1111",TH!M1934="1111")),TH!D1934,""),"")</f>
        <v/>
      </c>
      <c r="B1934" s="732">
        <f t="shared" si="115"/>
        <v>2</v>
      </c>
      <c r="C1934" s="37">
        <f t="shared" si="113"/>
        <v>40965</v>
      </c>
      <c r="D1934" s="37" t="s">
        <v>1723</v>
      </c>
      <c r="E1934" s="191">
        <v>40965</v>
      </c>
      <c r="F1934" s="192" t="s">
        <v>658</v>
      </c>
      <c r="G1934" s="490" t="s">
        <v>1521</v>
      </c>
      <c r="H1934" s="7" t="s">
        <v>1700</v>
      </c>
      <c r="I1934" s="252">
        <v>139</v>
      </c>
      <c r="J1934" s="252">
        <v>28381</v>
      </c>
      <c r="K1934" s="38">
        <f t="shared" si="114"/>
        <v>3944959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s="849" customFormat="1" ht="15.75" customHeight="1">
      <c r="A1935" s="204" t="str">
        <f>IF(B1935&lt;&gt;"",IF(AND(B1935&gt;=_TM1,B1935&lt;=_TM2,OR(TH!L1935="1111",TH!M1935="1111")),TH!D1935,""),"")</f>
        <v/>
      </c>
      <c r="B1935" s="732">
        <f t="shared" si="115"/>
        <v>2</v>
      </c>
      <c r="C1935" s="37">
        <f t="shared" si="113"/>
        <v>40965</v>
      </c>
      <c r="D1935" s="37" t="s">
        <v>1723</v>
      </c>
      <c r="E1935" s="191">
        <v>40965</v>
      </c>
      <c r="F1935" s="189" t="s">
        <v>643</v>
      </c>
      <c r="G1935" s="490" t="s">
        <v>1521</v>
      </c>
      <c r="H1935" s="7" t="s">
        <v>1700</v>
      </c>
      <c r="I1935" s="252">
        <v>100</v>
      </c>
      <c r="J1935" s="252">
        <v>29155</v>
      </c>
      <c r="K1935" s="38">
        <f t="shared" si="114"/>
        <v>2915500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s="849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15"/>
        <v>2</v>
      </c>
      <c r="C1936" s="37">
        <f t="shared" si="113"/>
        <v>40965</v>
      </c>
      <c r="D1936" s="37" t="s">
        <v>1723</v>
      </c>
      <c r="E1936" s="184">
        <v>40965</v>
      </c>
      <c r="F1936" s="189" t="s">
        <v>1373</v>
      </c>
      <c r="G1936" s="617" t="s">
        <v>1521</v>
      </c>
      <c r="H1936" s="7" t="s">
        <v>1700</v>
      </c>
      <c r="I1936" s="252">
        <v>35</v>
      </c>
      <c r="J1936" s="252">
        <v>19567</v>
      </c>
      <c r="K1936" s="38">
        <f t="shared" si="114"/>
        <v>684845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198"/>
      <c r="AB1936" s="211"/>
    </row>
    <row r="1937" spans="1:28" s="849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15"/>
        <v>2</v>
      </c>
      <c r="C1937" s="37">
        <f t="shared" si="113"/>
        <v>40965</v>
      </c>
      <c r="D1937" s="37" t="s">
        <v>1723</v>
      </c>
      <c r="E1937" s="184">
        <v>40965</v>
      </c>
      <c r="F1937" s="297" t="s">
        <v>1368</v>
      </c>
      <c r="G1937" s="617" t="s">
        <v>1521</v>
      </c>
      <c r="H1937" s="7" t="s">
        <v>1700</v>
      </c>
      <c r="I1937" s="252">
        <v>40</v>
      </c>
      <c r="J1937" s="252">
        <v>12207</v>
      </c>
      <c r="K1937" s="38">
        <f t="shared" si="114"/>
        <v>488280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198"/>
      <c r="AB1937" s="211"/>
    </row>
    <row r="1938" spans="1:28" s="849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15"/>
        <v>2</v>
      </c>
      <c r="C1938" s="37">
        <f t="shared" si="113"/>
        <v>40965</v>
      </c>
      <c r="D1938" s="37" t="s">
        <v>1723</v>
      </c>
      <c r="E1938" s="191">
        <v>40965</v>
      </c>
      <c r="F1938" s="189" t="s">
        <v>1373</v>
      </c>
      <c r="G1938" s="490" t="s">
        <v>1521</v>
      </c>
      <c r="H1938" s="7" t="s">
        <v>1700</v>
      </c>
      <c r="I1938" s="252">
        <v>40</v>
      </c>
      <c r="J1938" s="252">
        <v>19567</v>
      </c>
      <c r="K1938" s="38">
        <f t="shared" si="114"/>
        <v>782680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198"/>
      <c r="AB1938" s="211"/>
    </row>
    <row r="1939" spans="1:28" s="849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15"/>
        <v>2</v>
      </c>
      <c r="C1939" s="37">
        <f t="shared" si="113"/>
        <v>40965</v>
      </c>
      <c r="D1939" s="37" t="s">
        <v>1723</v>
      </c>
      <c r="E1939" s="191">
        <v>40965</v>
      </c>
      <c r="F1939" s="192" t="s">
        <v>671</v>
      </c>
      <c r="G1939" s="490" t="s">
        <v>1521</v>
      </c>
      <c r="H1939" s="7" t="s">
        <v>1700</v>
      </c>
      <c r="I1939" s="252">
        <v>118</v>
      </c>
      <c r="J1939" s="252">
        <v>12260</v>
      </c>
      <c r="K1939" s="38">
        <f t="shared" si="114"/>
        <v>1446680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198"/>
      <c r="AB1939" s="211"/>
    </row>
    <row r="1940" spans="1:28" s="849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115"/>
        <v>2</v>
      </c>
      <c r="C1940" s="37">
        <f t="shared" si="113"/>
        <v>40965</v>
      </c>
      <c r="D1940" s="37" t="s">
        <v>1723</v>
      </c>
      <c r="E1940" s="191">
        <v>40965</v>
      </c>
      <c r="F1940" s="192" t="s">
        <v>1240</v>
      </c>
      <c r="G1940" s="617" t="s">
        <v>1521</v>
      </c>
      <c r="H1940" s="7" t="s">
        <v>1700</v>
      </c>
      <c r="I1940" s="252">
        <v>1</v>
      </c>
      <c r="J1940" s="252">
        <v>17374</v>
      </c>
      <c r="K1940" s="38">
        <f t="shared" si="114"/>
        <v>17374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>x</v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198"/>
      <c r="AB1940" s="211"/>
    </row>
    <row r="1941" spans="1:28" s="849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15"/>
        <v>2</v>
      </c>
      <c r="C1941" s="37">
        <f t="shared" si="113"/>
        <v>40965</v>
      </c>
      <c r="D1941" s="37" t="s">
        <v>1723</v>
      </c>
      <c r="E1941" s="191">
        <v>40965</v>
      </c>
      <c r="F1941" s="189" t="s">
        <v>647</v>
      </c>
      <c r="G1941" s="617" t="s">
        <v>1521</v>
      </c>
      <c r="H1941" s="7" t="s">
        <v>1700</v>
      </c>
      <c r="I1941" s="252">
        <v>50</v>
      </c>
      <c r="J1941" s="252">
        <v>17443</v>
      </c>
      <c r="K1941" s="38">
        <f t="shared" si="114"/>
        <v>872150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198"/>
      <c r="AB1941" s="211"/>
    </row>
    <row r="1942" spans="1:28" s="849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15"/>
        <v>2</v>
      </c>
      <c r="C1942" s="37">
        <f t="shared" si="113"/>
        <v>40968</v>
      </c>
      <c r="D1942" s="37" t="s">
        <v>1724</v>
      </c>
      <c r="E1942" s="191">
        <v>40968</v>
      </c>
      <c r="F1942" s="189" t="s">
        <v>1261</v>
      </c>
      <c r="G1942" s="617" t="s">
        <v>940</v>
      </c>
      <c r="H1942" s="7" t="s">
        <v>1700</v>
      </c>
      <c r="I1942" s="252">
        <v>280</v>
      </c>
      <c r="J1942" s="252">
        <v>18840</v>
      </c>
      <c r="K1942" s="38">
        <f t="shared" si="114"/>
        <v>5275200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198"/>
      <c r="AB1942" s="211"/>
    </row>
    <row r="1943" spans="1:28" s="849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15"/>
        <v>2</v>
      </c>
      <c r="C1943" s="37">
        <f t="shared" si="113"/>
        <v>40968</v>
      </c>
      <c r="D1943" s="37" t="s">
        <v>1724</v>
      </c>
      <c r="E1943" s="191">
        <v>40968</v>
      </c>
      <c r="F1943" s="189" t="s">
        <v>1260</v>
      </c>
      <c r="G1943" s="490" t="s">
        <v>941</v>
      </c>
      <c r="H1943" s="7" t="s">
        <v>1700</v>
      </c>
      <c r="I1943" s="252">
        <v>55</v>
      </c>
      <c r="J1943" s="252">
        <v>32878</v>
      </c>
      <c r="K1943" s="38">
        <f t="shared" si="114"/>
        <v>1808290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198"/>
      <c r="AB1943" s="211"/>
    </row>
    <row r="1944" spans="1:28" s="849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15"/>
        <v>2</v>
      </c>
      <c r="C1944" s="37">
        <f t="shared" ref="C1944:C2007" si="116">E1944</f>
        <v>40968</v>
      </c>
      <c r="D1944" s="37" t="s">
        <v>1724</v>
      </c>
      <c r="E1944" s="191">
        <v>40968</v>
      </c>
      <c r="F1944" s="189" t="s">
        <v>1371</v>
      </c>
      <c r="G1944" s="490" t="s">
        <v>941</v>
      </c>
      <c r="H1944" s="7" t="s">
        <v>1700</v>
      </c>
      <c r="I1944" s="252">
        <v>450</v>
      </c>
      <c r="J1944" s="252">
        <v>20362</v>
      </c>
      <c r="K1944" s="38">
        <f t="shared" ref="K1944:K1999" si="117">ROUND(I1944*J1944,0)</f>
        <v>9162900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198"/>
      <c r="AB1944" s="211"/>
    </row>
    <row r="1945" spans="1:28" s="849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15"/>
        <v>2</v>
      </c>
      <c r="C1945" s="37">
        <f t="shared" si="116"/>
        <v>40968</v>
      </c>
      <c r="D1945" s="37" t="s">
        <v>1724</v>
      </c>
      <c r="E1945" s="191">
        <v>40968</v>
      </c>
      <c r="F1945" s="189" t="s">
        <v>1257</v>
      </c>
      <c r="G1945" s="490" t="s">
        <v>941</v>
      </c>
      <c r="H1945" s="7" t="s">
        <v>1700</v>
      </c>
      <c r="I1945" s="254">
        <v>20</v>
      </c>
      <c r="J1945" s="254">
        <v>32728</v>
      </c>
      <c r="K1945" s="38">
        <f t="shared" si="117"/>
        <v>654560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198"/>
      <c r="AB1945" s="211"/>
    </row>
    <row r="1946" spans="1:28" s="849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15"/>
        <v>2</v>
      </c>
      <c r="C1946" s="37">
        <f t="shared" si="116"/>
        <v>40968</v>
      </c>
      <c r="D1946" s="37" t="s">
        <v>1724</v>
      </c>
      <c r="E1946" s="191">
        <v>40968</v>
      </c>
      <c r="F1946" s="297" t="s">
        <v>1249</v>
      </c>
      <c r="G1946" s="490" t="s">
        <v>941</v>
      </c>
      <c r="H1946" s="7" t="s">
        <v>1700</v>
      </c>
      <c r="I1946" s="252">
        <v>50</v>
      </c>
      <c r="J1946" s="252">
        <v>31451</v>
      </c>
      <c r="K1946" s="38">
        <f t="shared" si="117"/>
        <v>1572550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198"/>
      <c r="AB1946" s="211"/>
    </row>
    <row r="1947" spans="1:28" s="849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15"/>
        <v>2</v>
      </c>
      <c r="C1947" s="37">
        <f t="shared" si="116"/>
        <v>40968</v>
      </c>
      <c r="D1947" s="37" t="s">
        <v>1724</v>
      </c>
      <c r="E1947" s="191">
        <v>40968</v>
      </c>
      <c r="F1947" s="189" t="s">
        <v>1247</v>
      </c>
      <c r="G1947" s="490" t="s">
        <v>941</v>
      </c>
      <c r="H1947" s="7" t="s">
        <v>1700</v>
      </c>
      <c r="I1947" s="252">
        <v>100</v>
      </c>
      <c r="J1947" s="252">
        <v>24206</v>
      </c>
      <c r="K1947" s="38">
        <f t="shared" si="117"/>
        <v>2420600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198"/>
      <c r="AB1947" s="211"/>
    </row>
    <row r="1948" spans="1:28" s="849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15"/>
        <v>2</v>
      </c>
      <c r="C1948" s="37">
        <f t="shared" si="116"/>
        <v>40968</v>
      </c>
      <c r="D1948" s="37" t="s">
        <v>1724</v>
      </c>
      <c r="E1948" s="191">
        <v>40968</v>
      </c>
      <c r="F1948" s="189" t="s">
        <v>615</v>
      </c>
      <c r="G1948" s="490" t="s">
        <v>941</v>
      </c>
      <c r="H1948" s="7" t="s">
        <v>1700</v>
      </c>
      <c r="I1948" s="252">
        <v>50</v>
      </c>
      <c r="J1948" s="252">
        <v>14161</v>
      </c>
      <c r="K1948" s="38">
        <f t="shared" si="117"/>
        <v>708050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198"/>
      <c r="AB1948" s="211"/>
    </row>
    <row r="1949" spans="1:28" s="849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15"/>
        <v>2</v>
      </c>
      <c r="C1949" s="37">
        <f t="shared" si="116"/>
        <v>40968</v>
      </c>
      <c r="D1949" s="37" t="s">
        <v>1724</v>
      </c>
      <c r="E1949" s="191">
        <v>40968</v>
      </c>
      <c r="F1949" s="192" t="s">
        <v>670</v>
      </c>
      <c r="G1949" s="490" t="s">
        <v>941</v>
      </c>
      <c r="H1949" s="7" t="s">
        <v>1700</v>
      </c>
      <c r="I1949" s="252">
        <v>1</v>
      </c>
      <c r="J1949" s="252">
        <v>8555</v>
      </c>
      <c r="K1949" s="38">
        <f t="shared" si="117"/>
        <v>8555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198"/>
      <c r="AB1949" s="211"/>
    </row>
    <row r="1950" spans="1:28" s="849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15"/>
        <v>2</v>
      </c>
      <c r="C1950" s="37">
        <f t="shared" si="116"/>
        <v>40968</v>
      </c>
      <c r="D1950" s="37" t="s">
        <v>1724</v>
      </c>
      <c r="E1950" s="191">
        <v>40968</v>
      </c>
      <c r="F1950" s="189" t="s">
        <v>1260</v>
      </c>
      <c r="G1950" s="488" t="s">
        <v>941</v>
      </c>
      <c r="H1950" s="7" t="s">
        <v>1700</v>
      </c>
      <c r="I1950" s="254">
        <v>20</v>
      </c>
      <c r="J1950" s="252">
        <v>32878</v>
      </c>
      <c r="K1950" s="38">
        <f t="shared" si="117"/>
        <v>657560</v>
      </c>
      <c r="L1950" s="39" t="s">
        <v>175</v>
      </c>
      <c r="M1950" s="39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198"/>
      <c r="AB1950" s="211"/>
    </row>
    <row r="1951" spans="1:28" s="849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15"/>
        <v>2</v>
      </c>
      <c r="C1951" s="37">
        <f t="shared" si="116"/>
        <v>40968</v>
      </c>
      <c r="D1951" s="37" t="s">
        <v>1724</v>
      </c>
      <c r="E1951" s="191">
        <v>40968</v>
      </c>
      <c r="F1951" s="297" t="s">
        <v>1366</v>
      </c>
      <c r="G1951" s="488" t="s">
        <v>941</v>
      </c>
      <c r="H1951" s="7" t="s">
        <v>1700</v>
      </c>
      <c r="I1951" s="254">
        <v>26</v>
      </c>
      <c r="J1951" s="252">
        <v>8768</v>
      </c>
      <c r="K1951" s="38">
        <f t="shared" si="117"/>
        <v>227968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198"/>
      <c r="AB1951" s="211"/>
    </row>
    <row r="1952" spans="1:28" s="849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15"/>
        <v>3</v>
      </c>
      <c r="C1952" s="37">
        <f t="shared" si="116"/>
        <v>40971</v>
      </c>
      <c r="D1952" s="37" t="s">
        <v>1725</v>
      </c>
      <c r="E1952" s="184">
        <v>40971</v>
      </c>
      <c r="F1952" s="189" t="s">
        <v>611</v>
      </c>
      <c r="G1952" s="617" t="s">
        <v>942</v>
      </c>
      <c r="H1952" s="7" t="s">
        <v>1700</v>
      </c>
      <c r="I1952" s="252">
        <v>85</v>
      </c>
      <c r="J1952" s="252">
        <v>22185</v>
      </c>
      <c r="K1952" s="38">
        <f t="shared" si="117"/>
        <v>1885725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198"/>
      <c r="AB1952" s="21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15"/>
        <v>3</v>
      </c>
      <c r="C1953" s="37">
        <f t="shared" si="116"/>
        <v>40971</v>
      </c>
      <c r="D1953" s="37" t="s">
        <v>1725</v>
      </c>
      <c r="E1953" s="184">
        <v>40971</v>
      </c>
      <c r="F1953" s="189" t="s">
        <v>1377</v>
      </c>
      <c r="G1953" s="617" t="s">
        <v>943</v>
      </c>
      <c r="H1953" s="7" t="s">
        <v>1700</v>
      </c>
      <c r="I1953" s="252">
        <v>100</v>
      </c>
      <c r="J1953" s="252">
        <v>15344</v>
      </c>
      <c r="K1953" s="38">
        <f t="shared" si="117"/>
        <v>1534400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B1953" s="211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15"/>
        <v>3</v>
      </c>
      <c r="C1954" s="37">
        <f t="shared" si="116"/>
        <v>40974</v>
      </c>
      <c r="D1954" s="37" t="s">
        <v>1726</v>
      </c>
      <c r="E1954" s="191">
        <v>40974</v>
      </c>
      <c r="F1954" s="189" t="s">
        <v>646</v>
      </c>
      <c r="G1954" s="490" t="s">
        <v>944</v>
      </c>
      <c r="H1954" s="7" t="s">
        <v>1700</v>
      </c>
      <c r="I1954" s="252">
        <v>300</v>
      </c>
      <c r="J1954" s="252">
        <v>17763</v>
      </c>
      <c r="K1954" s="38">
        <f t="shared" si="117"/>
        <v>5328900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B1954" s="211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15"/>
        <v>3</v>
      </c>
      <c r="C1955" s="37">
        <f t="shared" si="116"/>
        <v>40975</v>
      </c>
      <c r="D1955" s="37" t="s">
        <v>1727</v>
      </c>
      <c r="E1955" s="191">
        <v>40975</v>
      </c>
      <c r="F1955" s="297" t="s">
        <v>1366</v>
      </c>
      <c r="G1955" s="490" t="s">
        <v>912</v>
      </c>
      <c r="H1955" s="7" t="s">
        <v>1700</v>
      </c>
      <c r="I1955" s="252">
        <v>11</v>
      </c>
      <c r="J1955" s="252">
        <v>8768</v>
      </c>
      <c r="K1955" s="38">
        <f t="shared" si="117"/>
        <v>96448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B1955" s="211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15"/>
        <v>3</v>
      </c>
      <c r="C1956" s="37">
        <f t="shared" si="116"/>
        <v>40975</v>
      </c>
      <c r="D1956" s="37" t="s">
        <v>1727</v>
      </c>
      <c r="E1956" s="191">
        <v>40975</v>
      </c>
      <c r="F1956" s="192" t="s">
        <v>663</v>
      </c>
      <c r="G1956" s="490" t="s">
        <v>912</v>
      </c>
      <c r="H1956" s="7" t="s">
        <v>1700</v>
      </c>
      <c r="I1956" s="252">
        <v>208</v>
      </c>
      <c r="J1956" s="252">
        <v>28538</v>
      </c>
      <c r="K1956" s="38">
        <f t="shared" si="117"/>
        <v>5935904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B1956" s="211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>
        <f t="shared" si="115"/>
        <v>3</v>
      </c>
      <c r="C1957" s="37">
        <f t="shared" si="116"/>
        <v>40975</v>
      </c>
      <c r="D1957" s="37" t="s">
        <v>1727</v>
      </c>
      <c r="E1957" s="191">
        <v>40975</v>
      </c>
      <c r="F1957" s="189" t="s">
        <v>1371</v>
      </c>
      <c r="G1957" s="490" t="s">
        <v>912</v>
      </c>
      <c r="H1957" s="7" t="s">
        <v>1700</v>
      </c>
      <c r="I1957" s="252">
        <v>76</v>
      </c>
      <c r="J1957" s="252">
        <v>20362</v>
      </c>
      <c r="K1957" s="38">
        <f t="shared" si="117"/>
        <v>1547512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B1957" s="211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>
        <f t="shared" si="115"/>
        <v>3</v>
      </c>
      <c r="C1958" s="37">
        <f t="shared" si="116"/>
        <v>40975</v>
      </c>
      <c r="D1958" s="37" t="s">
        <v>1727</v>
      </c>
      <c r="E1958" s="191">
        <v>40975</v>
      </c>
      <c r="F1958" s="189" t="s">
        <v>648</v>
      </c>
      <c r="G1958" s="490" t="s">
        <v>912</v>
      </c>
      <c r="H1958" s="7" t="s">
        <v>1700</v>
      </c>
      <c r="I1958" s="252">
        <v>50</v>
      </c>
      <c r="J1958" s="252">
        <v>21130</v>
      </c>
      <c r="K1958" s="38">
        <f t="shared" si="117"/>
        <v>1056500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B1958" s="211"/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15"/>
        <v>3</v>
      </c>
      <c r="C1959" s="37">
        <f t="shared" si="116"/>
        <v>40977</v>
      </c>
      <c r="D1959" s="37" t="s">
        <v>1728</v>
      </c>
      <c r="E1959" s="191">
        <v>40977</v>
      </c>
      <c r="F1959" s="189" t="s">
        <v>1370</v>
      </c>
      <c r="G1959" s="490" t="s">
        <v>946</v>
      </c>
      <c r="H1959" s="7" t="s">
        <v>1700</v>
      </c>
      <c r="I1959" s="252">
        <v>585</v>
      </c>
      <c r="J1959" s="252">
        <v>14984</v>
      </c>
      <c r="K1959" s="38">
        <f t="shared" si="117"/>
        <v>8765640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B1959" s="211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15"/>
        <v>3</v>
      </c>
      <c r="C1960" s="37">
        <f t="shared" si="116"/>
        <v>40977</v>
      </c>
      <c r="D1960" s="37" t="s">
        <v>1728</v>
      </c>
      <c r="E1960" s="191">
        <v>40977</v>
      </c>
      <c r="F1960" s="192" t="s">
        <v>661</v>
      </c>
      <c r="G1960" s="490" t="s">
        <v>947</v>
      </c>
      <c r="H1960" s="7" t="s">
        <v>1700</v>
      </c>
      <c r="I1960" s="252">
        <v>225</v>
      </c>
      <c r="J1960" s="252">
        <v>15974</v>
      </c>
      <c r="K1960" s="38">
        <f t="shared" si="117"/>
        <v>3594150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B1960" s="211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>
        <f t="shared" si="115"/>
        <v>3</v>
      </c>
      <c r="C1961" s="37">
        <f t="shared" si="116"/>
        <v>40977</v>
      </c>
      <c r="D1961" s="37" t="s">
        <v>1728</v>
      </c>
      <c r="E1961" s="191">
        <v>40977</v>
      </c>
      <c r="F1961" s="189" t="s">
        <v>639</v>
      </c>
      <c r="G1961" s="490" t="s">
        <v>947</v>
      </c>
      <c r="H1961" s="7" t="s">
        <v>1700</v>
      </c>
      <c r="I1961" s="252">
        <v>150</v>
      </c>
      <c r="J1961" s="252">
        <v>11554</v>
      </c>
      <c r="K1961" s="38">
        <f t="shared" si="117"/>
        <v>1733100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B1961" s="211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15"/>
        <v>3</v>
      </c>
      <c r="C1962" s="37">
        <f t="shared" si="116"/>
        <v>40977</v>
      </c>
      <c r="D1962" s="37" t="s">
        <v>1728</v>
      </c>
      <c r="E1962" s="191">
        <v>40977</v>
      </c>
      <c r="F1962" s="189" t="s">
        <v>1246</v>
      </c>
      <c r="G1962" s="490" t="s">
        <v>947</v>
      </c>
      <c r="H1962" s="7" t="s">
        <v>1700</v>
      </c>
      <c r="I1962" s="252">
        <v>28</v>
      </c>
      <c r="J1962" s="252">
        <v>11435</v>
      </c>
      <c r="K1962" s="38">
        <f t="shared" si="117"/>
        <v>320180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B1962" s="211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15"/>
        <v>3</v>
      </c>
      <c r="C1963" s="37">
        <f t="shared" si="116"/>
        <v>40977</v>
      </c>
      <c r="D1963" s="37" t="s">
        <v>1728</v>
      </c>
      <c r="E1963" s="191">
        <v>40977</v>
      </c>
      <c r="F1963" s="189" t="s">
        <v>1246</v>
      </c>
      <c r="G1963" s="490" t="s">
        <v>947</v>
      </c>
      <c r="H1963" s="7" t="s">
        <v>1700</v>
      </c>
      <c r="I1963" s="252">
        <v>44</v>
      </c>
      <c r="J1963" s="252">
        <v>11435</v>
      </c>
      <c r="K1963" s="38">
        <f t="shared" si="117"/>
        <v>503140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B1963" s="211"/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>
        <f t="shared" si="115"/>
        <v>3</v>
      </c>
      <c r="C1964" s="37">
        <f t="shared" si="116"/>
        <v>40977</v>
      </c>
      <c r="D1964" s="37" t="s">
        <v>1728</v>
      </c>
      <c r="E1964" s="191">
        <v>40977</v>
      </c>
      <c r="F1964" s="192" t="s">
        <v>654</v>
      </c>
      <c r="G1964" s="490" t="s">
        <v>947</v>
      </c>
      <c r="H1964" s="7" t="s">
        <v>1700</v>
      </c>
      <c r="I1964" s="252">
        <v>55</v>
      </c>
      <c r="J1964" s="252">
        <v>10819</v>
      </c>
      <c r="K1964" s="38">
        <f t="shared" si="117"/>
        <v>595045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B1964" s="211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15"/>
        <v>3</v>
      </c>
      <c r="C1965" s="37">
        <f t="shared" si="116"/>
        <v>40985</v>
      </c>
      <c r="D1965" s="37" t="s">
        <v>1729</v>
      </c>
      <c r="E1965" s="191">
        <v>40985</v>
      </c>
      <c r="F1965" s="192" t="s">
        <v>676</v>
      </c>
      <c r="G1965" s="490" t="s">
        <v>949</v>
      </c>
      <c r="H1965" s="7" t="s">
        <v>1700</v>
      </c>
      <c r="I1965" s="252">
        <v>1000</v>
      </c>
      <c r="J1965" s="252">
        <v>10130</v>
      </c>
      <c r="K1965" s="38">
        <f t="shared" si="117"/>
        <v>10130000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B1965" s="211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>
        <f t="shared" si="115"/>
        <v>3</v>
      </c>
      <c r="C1966" s="37">
        <f t="shared" si="116"/>
        <v>40985</v>
      </c>
      <c r="D1966" s="37" t="s">
        <v>1729</v>
      </c>
      <c r="E1966" s="191">
        <v>40985</v>
      </c>
      <c r="F1966" s="297" t="s">
        <v>1575</v>
      </c>
      <c r="G1966" s="490" t="s">
        <v>949</v>
      </c>
      <c r="H1966" s="7" t="s">
        <v>1700</v>
      </c>
      <c r="I1966" s="252">
        <v>70</v>
      </c>
      <c r="J1966" s="252">
        <v>16925</v>
      </c>
      <c r="K1966" s="38">
        <f t="shared" si="117"/>
        <v>1184750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B1966" s="211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15"/>
        <v>3</v>
      </c>
      <c r="C1967" s="37">
        <f t="shared" si="116"/>
        <v>40986</v>
      </c>
      <c r="D1967" s="37" t="s">
        <v>1730</v>
      </c>
      <c r="E1967" s="191">
        <v>40986</v>
      </c>
      <c r="F1967" s="192" t="s">
        <v>669</v>
      </c>
      <c r="G1967" s="490" t="s">
        <v>950</v>
      </c>
      <c r="H1967" s="7" t="s">
        <v>1700</v>
      </c>
      <c r="I1967" s="252">
        <v>760</v>
      </c>
      <c r="J1967" s="252">
        <v>12936</v>
      </c>
      <c r="K1967" s="38">
        <f t="shared" si="117"/>
        <v>9831360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B1967" s="211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15"/>
        <v>3</v>
      </c>
      <c r="C1968" s="37">
        <f t="shared" si="116"/>
        <v>40986</v>
      </c>
      <c r="D1968" s="37" t="s">
        <v>1730</v>
      </c>
      <c r="E1968" s="191">
        <v>40986</v>
      </c>
      <c r="F1968" s="189" t="s">
        <v>1373</v>
      </c>
      <c r="G1968" s="490" t="s">
        <v>953</v>
      </c>
      <c r="H1968" s="7" t="s">
        <v>1700</v>
      </c>
      <c r="I1968" s="252">
        <v>210</v>
      </c>
      <c r="J1968" s="252">
        <v>19567</v>
      </c>
      <c r="K1968" s="38">
        <f t="shared" si="117"/>
        <v>4109070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B1968" s="211"/>
    </row>
    <row r="1969" spans="1:28" ht="15.75" customHeight="1">
      <c r="A1969" s="204" t="str">
        <f>IF(B1969&lt;&gt;"",IF(AND(B1969&gt;=_TM1,B1969&lt;=_TM2,OR(TH!L1969="1111",TH!M1969="1111")),TH!D1969,""),"")</f>
        <v/>
      </c>
      <c r="B1969" s="36">
        <f t="shared" si="115"/>
        <v>3</v>
      </c>
      <c r="C1969" s="37">
        <f t="shared" si="116"/>
        <v>40986</v>
      </c>
      <c r="D1969" s="37" t="s">
        <v>1730</v>
      </c>
      <c r="E1969" s="191">
        <v>40986</v>
      </c>
      <c r="F1969" s="297" t="s">
        <v>1366</v>
      </c>
      <c r="G1969" s="490" t="s">
        <v>953</v>
      </c>
      <c r="H1969" s="7" t="s">
        <v>1700</v>
      </c>
      <c r="I1969" s="252">
        <v>55</v>
      </c>
      <c r="J1969" s="252">
        <v>8768</v>
      </c>
      <c r="K1969" s="38">
        <f t="shared" si="117"/>
        <v>482240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B1969" s="211"/>
    </row>
    <row r="1970" spans="1:28" ht="15.75" customHeight="1">
      <c r="A1970" s="204" t="str">
        <f>IF(B1970&lt;&gt;"",IF(AND(B1970&gt;=_TM1,B1970&lt;=_TM2,OR(TH!L1970="1111",TH!M1970="1111")),TH!D1970,""),"")</f>
        <v/>
      </c>
      <c r="B1970" s="36">
        <f t="shared" si="115"/>
        <v>3</v>
      </c>
      <c r="C1970" s="37">
        <f t="shared" si="116"/>
        <v>40986</v>
      </c>
      <c r="D1970" s="37" t="s">
        <v>1730</v>
      </c>
      <c r="E1970" s="191">
        <v>40986</v>
      </c>
      <c r="F1970" s="189" t="s">
        <v>608</v>
      </c>
      <c r="G1970" s="490" t="s">
        <v>955</v>
      </c>
      <c r="H1970" s="7" t="s">
        <v>1700</v>
      </c>
      <c r="I1970" s="252">
        <v>180</v>
      </c>
      <c r="J1970" s="252">
        <v>23610</v>
      </c>
      <c r="K1970" s="38">
        <f t="shared" si="117"/>
        <v>4249800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B1970" s="211"/>
    </row>
    <row r="1971" spans="1:28" ht="15.75" customHeight="1">
      <c r="A1971" s="204" t="str">
        <f>IF(B1971&lt;&gt;"",IF(AND(B1971&gt;=_TM1,B1971&lt;=_TM2,OR(TH!L1971="1111",TH!M1971="1111")),TH!D1971,""),"")</f>
        <v/>
      </c>
      <c r="B1971" s="36">
        <f t="shared" si="115"/>
        <v>3</v>
      </c>
      <c r="C1971" s="37">
        <f t="shared" si="116"/>
        <v>40992</v>
      </c>
      <c r="D1971" s="37" t="s">
        <v>1731</v>
      </c>
      <c r="E1971" s="191">
        <v>40992</v>
      </c>
      <c r="F1971" s="297" t="s">
        <v>1366</v>
      </c>
      <c r="G1971" s="490" t="s">
        <v>956</v>
      </c>
      <c r="H1971" s="7" t="s">
        <v>1700</v>
      </c>
      <c r="I1971" s="252">
        <v>754</v>
      </c>
      <c r="J1971" s="252">
        <v>8768</v>
      </c>
      <c r="K1971" s="38">
        <f t="shared" si="117"/>
        <v>6611072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B1971" s="211"/>
    </row>
    <row r="1972" spans="1:28" ht="15.75" customHeight="1">
      <c r="A1972" s="204" t="str">
        <f>IF(B1972&lt;&gt;"",IF(AND(B1972&gt;=_TM1,B1972&lt;=_TM2,OR(TH!L1972="1111",TH!M1972="1111")),TH!D1972,""),"")</f>
        <v/>
      </c>
      <c r="B1972" s="36">
        <f t="shared" si="115"/>
        <v>3</v>
      </c>
      <c r="C1972" s="37">
        <f t="shared" si="116"/>
        <v>40992</v>
      </c>
      <c r="D1972" s="37" t="s">
        <v>1731</v>
      </c>
      <c r="E1972" s="191">
        <v>40992</v>
      </c>
      <c r="F1972" s="189" t="s">
        <v>613</v>
      </c>
      <c r="G1972" s="490" t="s">
        <v>956</v>
      </c>
      <c r="H1972" s="7" t="s">
        <v>1700</v>
      </c>
      <c r="I1972" s="252">
        <v>35</v>
      </c>
      <c r="J1972" s="252">
        <v>21199</v>
      </c>
      <c r="K1972" s="38">
        <f t="shared" si="117"/>
        <v>741965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B1972" s="211"/>
    </row>
    <row r="1973" spans="1:28" ht="15.75" customHeight="1">
      <c r="A1973" s="204" t="str">
        <f>IF(B1973&lt;&gt;"",IF(AND(B1973&gt;=_TM1,B1973&lt;=_TM2,OR(TH!L1973="1111",TH!M1973="1111")),TH!D1973,""),"")</f>
        <v/>
      </c>
      <c r="B1973" s="36">
        <f t="shared" si="115"/>
        <v>3</v>
      </c>
      <c r="C1973" s="37">
        <f t="shared" si="116"/>
        <v>40992</v>
      </c>
      <c r="D1973" s="37" t="s">
        <v>1731</v>
      </c>
      <c r="E1973" s="191">
        <v>40992</v>
      </c>
      <c r="F1973" s="189" t="s">
        <v>653</v>
      </c>
      <c r="G1973" s="490" t="s">
        <v>956</v>
      </c>
      <c r="H1973" s="7" t="s">
        <v>1700</v>
      </c>
      <c r="I1973" s="252">
        <v>400</v>
      </c>
      <c r="J1973" s="252">
        <v>571</v>
      </c>
      <c r="K1973" s="38">
        <f t="shared" si="117"/>
        <v>228400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B1973" s="211"/>
    </row>
    <row r="1974" spans="1:28" ht="15.75" customHeight="1">
      <c r="A1974" s="204" t="str">
        <f>IF(B1974&lt;&gt;"",IF(AND(B1974&gt;=_TM1,B1974&lt;=_TM2,OR(TH!L1974="1111",TH!M1974="1111")),TH!D1974,""),"")</f>
        <v/>
      </c>
      <c r="B1974" s="36">
        <f t="shared" si="115"/>
        <v>3</v>
      </c>
      <c r="C1974" s="37">
        <f t="shared" si="116"/>
        <v>40993</v>
      </c>
      <c r="D1974" s="37" t="s">
        <v>1732</v>
      </c>
      <c r="E1974" s="191">
        <v>40993</v>
      </c>
      <c r="F1974" s="192" t="s">
        <v>663</v>
      </c>
      <c r="G1974" s="490" t="s">
        <v>957</v>
      </c>
      <c r="H1974" s="7" t="s">
        <v>1700</v>
      </c>
      <c r="I1974" s="252">
        <v>200</v>
      </c>
      <c r="J1974" s="252">
        <v>28538</v>
      </c>
      <c r="K1974" s="38">
        <f t="shared" si="117"/>
        <v>5707600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B1974" s="211"/>
    </row>
    <row r="1975" spans="1:28" ht="15.75" customHeight="1">
      <c r="A1975" s="204" t="str">
        <f>IF(B1975&lt;&gt;"",IF(AND(B1975&gt;=_TM1,B1975&lt;=_TM2,OR(TH!L1975="1111",TH!M1975="1111")),TH!D1975,""),"")</f>
        <v/>
      </c>
      <c r="B1975" s="36">
        <f t="shared" si="115"/>
        <v>3</v>
      </c>
      <c r="C1975" s="37">
        <f t="shared" si="116"/>
        <v>40995</v>
      </c>
      <c r="D1975" s="37" t="s">
        <v>1733</v>
      </c>
      <c r="E1975" s="191">
        <v>40995</v>
      </c>
      <c r="F1975" s="189" t="s">
        <v>1373</v>
      </c>
      <c r="G1975" s="490" t="s">
        <v>959</v>
      </c>
      <c r="H1975" s="7" t="s">
        <v>1700</v>
      </c>
      <c r="I1975" s="252">
        <v>40</v>
      </c>
      <c r="J1975" s="252">
        <v>19567</v>
      </c>
      <c r="K1975" s="38">
        <f t="shared" si="117"/>
        <v>782680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B1975" s="211"/>
    </row>
    <row r="1976" spans="1:28" ht="15.75" customHeight="1">
      <c r="A1976" s="204" t="str">
        <f>IF(B1976&lt;&gt;"",IF(AND(B1976&gt;=_TM1,B1976&lt;=_TM2,OR(TH!L1976="1111",TH!M1976="1111")),TH!D1976,""),"")</f>
        <v/>
      </c>
      <c r="B1976" s="36">
        <f t="shared" si="115"/>
        <v>3</v>
      </c>
      <c r="C1976" s="37">
        <f t="shared" si="116"/>
        <v>40995</v>
      </c>
      <c r="D1976" s="37" t="s">
        <v>1733</v>
      </c>
      <c r="E1976" s="191">
        <v>40995</v>
      </c>
      <c r="F1976" s="297" t="s">
        <v>1366</v>
      </c>
      <c r="G1976" s="490" t="s">
        <v>961</v>
      </c>
      <c r="H1976" s="7" t="s">
        <v>1700</v>
      </c>
      <c r="I1976" s="252">
        <v>85</v>
      </c>
      <c r="J1976" s="252">
        <v>8768</v>
      </c>
      <c r="K1976" s="38">
        <f t="shared" si="117"/>
        <v>745280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B1976" s="211"/>
    </row>
    <row r="1977" spans="1:28" ht="15.75" customHeight="1">
      <c r="A1977" s="204" t="str">
        <f>IF(B1977&lt;&gt;"",IF(AND(B1977&gt;=_TM1,B1977&lt;=_TM2,OR(TH!L1977="1111",TH!M1977="1111")),TH!D1977,""),"")</f>
        <v/>
      </c>
      <c r="B1977" s="36">
        <f t="shared" si="115"/>
        <v>3</v>
      </c>
      <c r="C1977" s="37">
        <f t="shared" si="116"/>
        <v>40995</v>
      </c>
      <c r="D1977" s="37" t="s">
        <v>1733</v>
      </c>
      <c r="E1977" s="191">
        <v>40995</v>
      </c>
      <c r="F1977" s="189" t="s">
        <v>1371</v>
      </c>
      <c r="G1977" s="490" t="s">
        <v>961</v>
      </c>
      <c r="H1977" s="7" t="s">
        <v>1700</v>
      </c>
      <c r="I1977" s="252">
        <v>55</v>
      </c>
      <c r="J1977" s="252">
        <v>20362</v>
      </c>
      <c r="K1977" s="38">
        <f t="shared" si="117"/>
        <v>1119910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B1977" s="211"/>
    </row>
    <row r="1978" spans="1:28" ht="15.75" customHeight="1">
      <c r="A1978" s="204" t="str">
        <f>IF(B1978&lt;&gt;"",IF(AND(B1978&gt;=_TM1,B1978&lt;=_TM2,OR(TH!L1978="1111",TH!M1978="1111")),TH!D1978,""),"")</f>
        <v/>
      </c>
      <c r="B1978" s="36">
        <f t="shared" si="115"/>
        <v>3</v>
      </c>
      <c r="C1978" s="37">
        <f t="shared" si="116"/>
        <v>40995</v>
      </c>
      <c r="D1978" s="37" t="s">
        <v>1733</v>
      </c>
      <c r="E1978" s="191">
        <v>40995</v>
      </c>
      <c r="F1978" s="297" t="s">
        <v>1366</v>
      </c>
      <c r="G1978" s="490" t="s">
        <v>961</v>
      </c>
      <c r="H1978" s="7" t="s">
        <v>1700</v>
      </c>
      <c r="I1978" s="252">
        <v>21</v>
      </c>
      <c r="J1978" s="252">
        <v>8768</v>
      </c>
      <c r="K1978" s="38">
        <f t="shared" si="117"/>
        <v>184128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B1978" s="211"/>
    </row>
    <row r="1979" spans="1:28" ht="15.75" customHeight="1">
      <c r="A1979" s="204" t="str">
        <f>IF(B1979&lt;&gt;"",IF(AND(B1979&gt;=_TM1,B1979&lt;=_TM2,OR(TH!L1979="1111",TH!M1979="1111")),TH!D1979,""),"")</f>
        <v/>
      </c>
      <c r="B1979" s="36">
        <f t="shared" si="115"/>
        <v>3</v>
      </c>
      <c r="C1979" s="37">
        <f t="shared" si="116"/>
        <v>40995</v>
      </c>
      <c r="D1979" s="37" t="s">
        <v>1733</v>
      </c>
      <c r="E1979" s="191">
        <v>40995</v>
      </c>
      <c r="F1979" s="192" t="s">
        <v>666</v>
      </c>
      <c r="G1979" s="490" t="s">
        <v>962</v>
      </c>
      <c r="H1979" s="7" t="s">
        <v>1700</v>
      </c>
      <c r="I1979" s="252">
        <v>130</v>
      </c>
      <c r="J1979" s="252">
        <v>25480</v>
      </c>
      <c r="K1979" s="38">
        <f t="shared" si="117"/>
        <v>3312400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B1979" s="211"/>
    </row>
    <row r="1980" spans="1:28" ht="15.75" customHeight="1">
      <c r="A1980" s="204" t="str">
        <f>IF(B1980&lt;&gt;"",IF(AND(B1980&gt;=_TM1,B1980&lt;=_TM2,OR(TH!L1980="1111",TH!M1980="1111")),TH!D1980,""),"")</f>
        <v/>
      </c>
      <c r="B1980" s="36">
        <f t="shared" si="115"/>
        <v>3</v>
      </c>
      <c r="C1980" s="37">
        <f t="shared" si="116"/>
        <v>40995</v>
      </c>
      <c r="D1980" s="37" t="s">
        <v>1733</v>
      </c>
      <c r="E1980" s="191">
        <v>40995</v>
      </c>
      <c r="F1980" s="297" t="s">
        <v>1241</v>
      </c>
      <c r="G1980" s="490" t="s">
        <v>962</v>
      </c>
      <c r="H1980" s="7" t="s">
        <v>1700</v>
      </c>
      <c r="I1980" s="252">
        <v>100</v>
      </c>
      <c r="J1980" s="252">
        <v>16988</v>
      </c>
      <c r="K1980" s="38">
        <f t="shared" si="117"/>
        <v>1698800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B1980" s="211"/>
    </row>
    <row r="1981" spans="1:28" ht="15.75" customHeight="1">
      <c r="A1981" s="204" t="str">
        <f>IF(B1981&lt;&gt;"",IF(AND(B1981&gt;=_TM1,B1981&lt;=_TM2,OR(TH!L1981="1111",TH!M1981="1111")),TH!D1981,""),"")</f>
        <v/>
      </c>
      <c r="B1981" s="36">
        <f t="shared" si="115"/>
        <v>3</v>
      </c>
      <c r="C1981" s="37">
        <f t="shared" si="116"/>
        <v>40995</v>
      </c>
      <c r="D1981" s="37" t="s">
        <v>1733</v>
      </c>
      <c r="E1981" s="191">
        <v>40995</v>
      </c>
      <c r="F1981" s="192" t="s">
        <v>564</v>
      </c>
      <c r="G1981" s="490" t="s">
        <v>962</v>
      </c>
      <c r="H1981" s="7" t="s">
        <v>1700</v>
      </c>
      <c r="I1981" s="252">
        <v>210</v>
      </c>
      <c r="J1981" s="252">
        <v>26898</v>
      </c>
      <c r="K1981" s="38">
        <f t="shared" si="117"/>
        <v>5648580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B1981" s="211"/>
    </row>
    <row r="1982" spans="1:28" ht="15.75" customHeight="1">
      <c r="A1982" s="204" t="str">
        <f>IF(B1982&lt;&gt;"",IF(AND(B1982&gt;=_TM1,B1982&lt;=_TM2,OR(TH!L1982="1111",TH!M1982="1111")),TH!D1982,""),"")</f>
        <v/>
      </c>
      <c r="B1982" s="36">
        <f t="shared" si="115"/>
        <v>3</v>
      </c>
      <c r="C1982" s="37">
        <f t="shared" si="116"/>
        <v>40995</v>
      </c>
      <c r="D1982" s="37" t="s">
        <v>1733</v>
      </c>
      <c r="E1982" s="191">
        <v>40995</v>
      </c>
      <c r="F1982" s="189" t="s">
        <v>1373</v>
      </c>
      <c r="G1982" s="490" t="s">
        <v>962</v>
      </c>
      <c r="H1982" s="7" t="s">
        <v>1700</v>
      </c>
      <c r="I1982" s="252">
        <v>50</v>
      </c>
      <c r="J1982" s="252">
        <v>19567</v>
      </c>
      <c r="K1982" s="38">
        <f t="shared" si="117"/>
        <v>978350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B1982" s="211"/>
    </row>
    <row r="1983" spans="1:28" ht="15.75" customHeight="1">
      <c r="A1983" s="204" t="str">
        <f>IF(B1983&lt;&gt;"",IF(AND(B1983&gt;=_TM1,B1983&lt;=_TM2,OR(TH!L1983="1111",TH!M1983="1111")),TH!D1983,""),"")</f>
        <v/>
      </c>
      <c r="B1983" s="36">
        <f t="shared" si="115"/>
        <v>3</v>
      </c>
      <c r="C1983" s="37">
        <f t="shared" si="116"/>
        <v>40995</v>
      </c>
      <c r="D1983" s="37" t="s">
        <v>1733</v>
      </c>
      <c r="E1983" s="191">
        <v>40995</v>
      </c>
      <c r="F1983" s="189" t="s">
        <v>634</v>
      </c>
      <c r="G1983" s="490" t="s">
        <v>962</v>
      </c>
      <c r="H1983" s="7" t="s">
        <v>1700</v>
      </c>
      <c r="I1983" s="252">
        <v>33</v>
      </c>
      <c r="J1983" s="252">
        <v>19316</v>
      </c>
      <c r="K1983" s="38">
        <f t="shared" si="117"/>
        <v>637428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B1983" s="211"/>
    </row>
    <row r="1984" spans="1:28" ht="15.75" customHeight="1">
      <c r="A1984" s="204" t="str">
        <f>IF(B1984&lt;&gt;"",IF(AND(B1984&gt;=_TM1,B1984&lt;=_TM2,OR(TH!L1984="1111",TH!M1984="1111")),TH!D1984,""),"")</f>
        <v/>
      </c>
      <c r="B1984" s="36">
        <f t="shared" si="115"/>
        <v>3</v>
      </c>
      <c r="C1984" s="37">
        <f t="shared" si="116"/>
        <v>40995</v>
      </c>
      <c r="D1984" s="37" t="s">
        <v>1733</v>
      </c>
      <c r="E1984" s="191">
        <v>40995</v>
      </c>
      <c r="F1984" s="189" t="s">
        <v>1371</v>
      </c>
      <c r="G1984" s="490" t="s">
        <v>962</v>
      </c>
      <c r="H1984" s="7" t="s">
        <v>1700</v>
      </c>
      <c r="I1984" s="252">
        <v>70</v>
      </c>
      <c r="J1984" s="252">
        <v>20362</v>
      </c>
      <c r="K1984" s="38">
        <f t="shared" si="117"/>
        <v>1425340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B1984" s="211"/>
    </row>
    <row r="1985" spans="1:28" ht="15.75" customHeight="1">
      <c r="A1985" s="204" t="str">
        <f>IF(B1985&lt;&gt;"",IF(AND(B1985&gt;=_TM1,B1985&lt;=_TM2,OR(TH!L1985="1111",TH!M1985="1111")),TH!D1985,""),"")</f>
        <v/>
      </c>
      <c r="B1985" s="36">
        <f t="shared" si="115"/>
        <v>3</v>
      </c>
      <c r="C1985" s="37">
        <f t="shared" si="116"/>
        <v>40995</v>
      </c>
      <c r="D1985" s="37" t="s">
        <v>1733</v>
      </c>
      <c r="E1985" s="191">
        <v>40995</v>
      </c>
      <c r="F1985" s="189" t="s">
        <v>614</v>
      </c>
      <c r="G1985" s="490" t="s">
        <v>962</v>
      </c>
      <c r="H1985" s="7" t="s">
        <v>1700</v>
      </c>
      <c r="I1985" s="252">
        <v>30</v>
      </c>
      <c r="J1985" s="252">
        <v>13641</v>
      </c>
      <c r="K1985" s="38">
        <f t="shared" si="117"/>
        <v>409230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B1985" s="211"/>
    </row>
    <row r="1986" spans="1:28" ht="15.75" customHeight="1">
      <c r="A1986" s="204" t="str">
        <f>IF(B1986&lt;&gt;"",IF(AND(B1986&gt;=_TM1,B1986&lt;=_TM2,OR(TH!L1986="1111",TH!M1986="1111")),TH!D1986,""),"")</f>
        <v/>
      </c>
      <c r="B1986" s="36">
        <f t="shared" si="115"/>
        <v>3</v>
      </c>
      <c r="C1986" s="37">
        <f t="shared" si="116"/>
        <v>40995</v>
      </c>
      <c r="D1986" s="37" t="s">
        <v>1733</v>
      </c>
      <c r="E1986" s="191">
        <v>40995</v>
      </c>
      <c r="F1986" s="297" t="s">
        <v>655</v>
      </c>
      <c r="G1986" s="490" t="s">
        <v>962</v>
      </c>
      <c r="H1986" s="7" t="s">
        <v>1700</v>
      </c>
      <c r="I1986" s="252">
        <v>102</v>
      </c>
      <c r="J1986" s="252">
        <v>14573</v>
      </c>
      <c r="K1986" s="38">
        <f t="shared" si="117"/>
        <v>1486446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B1986" s="211"/>
    </row>
    <row r="1987" spans="1:28" ht="15.75" customHeight="1">
      <c r="A1987" s="204" t="str">
        <f>IF(B1987&lt;&gt;"",IF(AND(B1987&gt;=_TM1,B1987&lt;=_TM2,OR(TH!L1987="1111",TH!M1987="1111")),TH!D1987,""),"")</f>
        <v/>
      </c>
      <c r="B1987" s="36">
        <f t="shared" ref="B1987:B2050" si="118">IF(C1987&lt;&gt;"",MONTH(C1987),"")</f>
        <v>3</v>
      </c>
      <c r="C1987" s="37">
        <f t="shared" si="116"/>
        <v>40995</v>
      </c>
      <c r="D1987" s="37" t="s">
        <v>1733</v>
      </c>
      <c r="E1987" s="191">
        <v>40995</v>
      </c>
      <c r="F1987" s="189" t="s">
        <v>1373</v>
      </c>
      <c r="G1987" s="490" t="s">
        <v>962</v>
      </c>
      <c r="H1987" s="7" t="s">
        <v>1700</v>
      </c>
      <c r="I1987" s="252">
        <v>50</v>
      </c>
      <c r="J1987" s="252">
        <v>19567</v>
      </c>
      <c r="K1987" s="38">
        <f t="shared" si="117"/>
        <v>978350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B1987" s="211"/>
    </row>
    <row r="1988" spans="1:28" ht="15.75" customHeight="1">
      <c r="A1988" s="204" t="str">
        <f>IF(B1988&lt;&gt;"",IF(AND(B1988&gt;=_TM1,B1988&lt;=_TM2,OR(TH!L1988="1111",TH!M1988="1111")),TH!D1988,""),"")</f>
        <v/>
      </c>
      <c r="B1988" s="36">
        <f t="shared" si="118"/>
        <v>3</v>
      </c>
      <c r="C1988" s="37">
        <f t="shared" si="116"/>
        <v>40995</v>
      </c>
      <c r="D1988" s="37" t="s">
        <v>1733</v>
      </c>
      <c r="E1988" s="191">
        <v>40995</v>
      </c>
      <c r="F1988" s="189" t="s">
        <v>644</v>
      </c>
      <c r="G1988" s="490" t="s">
        <v>962</v>
      </c>
      <c r="H1988" s="7" t="s">
        <v>1700</v>
      </c>
      <c r="I1988" s="252">
        <v>100</v>
      </c>
      <c r="J1988" s="252">
        <v>14166</v>
      </c>
      <c r="K1988" s="38">
        <f t="shared" si="117"/>
        <v>1416600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B1988" s="211"/>
    </row>
    <row r="1989" spans="1:28" ht="15.75" customHeight="1">
      <c r="A1989" s="204" t="str">
        <f>IF(B1989&lt;&gt;"",IF(AND(B1989&gt;=_TM1,B1989&lt;=_TM2,OR(TH!L1989="1111",TH!M1989="1111")),TH!D1989,""),"")</f>
        <v/>
      </c>
      <c r="B1989" s="36">
        <f t="shared" si="118"/>
        <v>3</v>
      </c>
      <c r="C1989" s="37">
        <f t="shared" si="116"/>
        <v>40995</v>
      </c>
      <c r="D1989" s="37" t="s">
        <v>1733</v>
      </c>
      <c r="E1989" s="191">
        <v>40995</v>
      </c>
      <c r="F1989" s="189" t="s">
        <v>1373</v>
      </c>
      <c r="G1989" s="490" t="s">
        <v>962</v>
      </c>
      <c r="H1989" s="7" t="s">
        <v>1700</v>
      </c>
      <c r="I1989" s="252">
        <v>85</v>
      </c>
      <c r="J1989" s="252">
        <v>19567</v>
      </c>
      <c r="K1989" s="38">
        <f t="shared" si="117"/>
        <v>1663195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B1989" s="211"/>
    </row>
    <row r="1990" spans="1:28" ht="15.75" customHeight="1">
      <c r="A1990" s="204" t="str">
        <f>IF(B1990&lt;&gt;"",IF(AND(B1990&gt;=_TM1,B1990&lt;=_TM2,OR(TH!L1990="1111",TH!M1990="1111")),TH!D1990,""),"")</f>
        <v/>
      </c>
      <c r="B1990" s="36">
        <f t="shared" si="118"/>
        <v>3</v>
      </c>
      <c r="C1990" s="37">
        <f t="shared" si="116"/>
        <v>40995</v>
      </c>
      <c r="D1990" s="37" t="s">
        <v>1733</v>
      </c>
      <c r="E1990" s="184">
        <v>40995</v>
      </c>
      <c r="F1990" s="189" t="s">
        <v>612</v>
      </c>
      <c r="G1990" s="617" t="s">
        <v>963</v>
      </c>
      <c r="H1990" s="7" t="s">
        <v>1700</v>
      </c>
      <c r="I1990" s="252">
        <v>255</v>
      </c>
      <c r="J1990" s="252">
        <v>19424</v>
      </c>
      <c r="K1990" s="38">
        <f t="shared" si="117"/>
        <v>4953120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B1990" s="211"/>
    </row>
    <row r="1991" spans="1:28" ht="15.75" customHeight="1">
      <c r="A1991" s="204" t="str">
        <f>IF(B1991&lt;&gt;"",IF(AND(B1991&gt;=_TM1,B1991&lt;=_TM2,OR(TH!L1991="1111",TH!M1991="1111")),TH!D1991,""),"")</f>
        <v/>
      </c>
      <c r="B1991" s="36">
        <f t="shared" si="118"/>
        <v>3</v>
      </c>
      <c r="C1991" s="37">
        <f t="shared" si="116"/>
        <v>40995</v>
      </c>
      <c r="D1991" s="37" t="s">
        <v>1733</v>
      </c>
      <c r="E1991" s="191">
        <v>40995</v>
      </c>
      <c r="F1991" s="189" t="s">
        <v>1378</v>
      </c>
      <c r="G1991" s="490" t="s">
        <v>963</v>
      </c>
      <c r="H1991" s="7" t="s">
        <v>1700</v>
      </c>
      <c r="I1991" s="252">
        <v>250</v>
      </c>
      <c r="J1991" s="252">
        <v>12053</v>
      </c>
      <c r="K1991" s="38">
        <f t="shared" si="117"/>
        <v>3013250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B1991" s="211"/>
    </row>
    <row r="1992" spans="1:28" ht="15.75" customHeight="1">
      <c r="A1992" s="204" t="str">
        <f>IF(B1992&lt;&gt;"",IF(AND(B1992&gt;=_TM1,B1992&lt;=_TM2,OR(TH!L1992="1111",TH!M1992="1111")),TH!D1992,""),"")</f>
        <v/>
      </c>
      <c r="B1992" s="36">
        <f t="shared" si="118"/>
        <v>3</v>
      </c>
      <c r="C1992" s="37">
        <f t="shared" si="116"/>
        <v>40995</v>
      </c>
      <c r="D1992" s="37" t="s">
        <v>1733</v>
      </c>
      <c r="E1992" s="191">
        <v>40995</v>
      </c>
      <c r="F1992" s="192" t="s">
        <v>664</v>
      </c>
      <c r="G1992" s="490" t="s">
        <v>963</v>
      </c>
      <c r="H1992" s="7" t="s">
        <v>1700</v>
      </c>
      <c r="I1992" s="252">
        <v>436</v>
      </c>
      <c r="J1992" s="252">
        <v>25225</v>
      </c>
      <c r="K1992" s="38">
        <f t="shared" si="117"/>
        <v>10998100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B1992" s="211"/>
    </row>
    <row r="1993" spans="1:28" ht="15.75" customHeight="1">
      <c r="A1993" s="204" t="str">
        <f>IF(B1993&lt;&gt;"",IF(AND(B1993&gt;=_TM1,B1993&lt;=_TM2,OR(TH!L1993="1111",TH!M1993="1111")),TH!D1993,""),"")</f>
        <v/>
      </c>
      <c r="B1993" s="36">
        <f t="shared" si="118"/>
        <v>3</v>
      </c>
      <c r="C1993" s="37">
        <f t="shared" si="116"/>
        <v>40995</v>
      </c>
      <c r="D1993" s="37" t="s">
        <v>1733</v>
      </c>
      <c r="E1993" s="184">
        <v>40995</v>
      </c>
      <c r="F1993" s="189" t="s">
        <v>1259</v>
      </c>
      <c r="G1993" s="617" t="s">
        <v>964</v>
      </c>
      <c r="H1993" s="7" t="s">
        <v>1700</v>
      </c>
      <c r="I1993" s="252">
        <v>250</v>
      </c>
      <c r="J1993" s="252">
        <v>12735</v>
      </c>
      <c r="K1993" s="38">
        <f t="shared" si="117"/>
        <v>3183750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B1993" s="211"/>
    </row>
    <row r="1994" spans="1:28" ht="15.75" customHeight="1">
      <c r="A1994" s="204" t="str">
        <f>IF(B1994&lt;&gt;"",IF(AND(B1994&gt;=_TM1,B1994&lt;=_TM2,OR(TH!L1994="1111",TH!M1994="1111")),TH!D1994,""),"")</f>
        <v/>
      </c>
      <c r="B1994" s="36">
        <f t="shared" si="118"/>
        <v>3</v>
      </c>
      <c r="C1994" s="37">
        <f t="shared" si="116"/>
        <v>40995</v>
      </c>
      <c r="D1994" s="37" t="s">
        <v>1733</v>
      </c>
      <c r="E1994" s="191">
        <v>40995</v>
      </c>
      <c r="F1994" s="297" t="s">
        <v>1249</v>
      </c>
      <c r="G1994" s="490" t="s">
        <v>1561</v>
      </c>
      <c r="H1994" s="7" t="s">
        <v>1700</v>
      </c>
      <c r="I1994" s="252">
        <v>10</v>
      </c>
      <c r="J1994" s="252">
        <v>31451</v>
      </c>
      <c r="K1994" s="38">
        <f t="shared" si="117"/>
        <v>314510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B1994" s="211"/>
    </row>
    <row r="1995" spans="1:28" ht="15.75" customHeight="1">
      <c r="A1995" s="204" t="str">
        <f>IF(B1995&lt;&gt;"",IF(AND(B1995&gt;=_TM1,B1995&lt;=_TM2,OR(TH!L1995="1111",TH!M1995="1111")),TH!D1995,""),"")</f>
        <v/>
      </c>
      <c r="B1995" s="36">
        <f t="shared" si="118"/>
        <v>3</v>
      </c>
      <c r="C1995" s="37">
        <f t="shared" si="116"/>
        <v>40995</v>
      </c>
      <c r="D1995" s="37" t="s">
        <v>1733</v>
      </c>
      <c r="E1995" s="191">
        <v>40995</v>
      </c>
      <c r="F1995" s="192" t="s">
        <v>619</v>
      </c>
      <c r="G1995" s="490" t="s">
        <v>1561</v>
      </c>
      <c r="H1995" s="7" t="s">
        <v>1700</v>
      </c>
      <c r="I1995" s="252">
        <v>50</v>
      </c>
      <c r="J1995" s="252">
        <v>16176</v>
      </c>
      <c r="K1995" s="38">
        <f t="shared" si="117"/>
        <v>808800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B1995" s="211"/>
    </row>
    <row r="1996" spans="1:28" ht="15.75" customHeight="1">
      <c r="A1996" s="204" t="str">
        <f>IF(B1996&lt;&gt;"",IF(AND(B1996&gt;=_TM1,B1996&lt;=_TM2,OR(TH!L1996="1111",TH!M1996="1111")),TH!D1996,""),"")</f>
        <v/>
      </c>
      <c r="B1996" s="36">
        <f t="shared" si="118"/>
        <v>3</v>
      </c>
      <c r="C1996" s="37">
        <f t="shared" si="116"/>
        <v>40995</v>
      </c>
      <c r="D1996" s="37" t="s">
        <v>1733</v>
      </c>
      <c r="E1996" s="191">
        <v>40995</v>
      </c>
      <c r="F1996" s="189" t="s">
        <v>1260</v>
      </c>
      <c r="G1996" s="490" t="s">
        <v>1561</v>
      </c>
      <c r="H1996" s="7" t="s">
        <v>1700</v>
      </c>
      <c r="I1996" s="252">
        <v>75</v>
      </c>
      <c r="J1996" s="252">
        <v>32878</v>
      </c>
      <c r="K1996" s="38">
        <f t="shared" si="117"/>
        <v>2465850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B1996" s="211"/>
    </row>
    <row r="1997" spans="1:28" ht="15.75" customHeight="1">
      <c r="A1997" s="204" t="str">
        <f>IF(B1997&lt;&gt;"",IF(AND(B1997&gt;=_TM1,B1997&lt;=_TM2,OR(TH!L1997="1111",TH!M1997="1111")),TH!D1997,""),"")</f>
        <v/>
      </c>
      <c r="B1997" s="36">
        <f t="shared" si="118"/>
        <v>3</v>
      </c>
      <c r="C1997" s="37">
        <f t="shared" si="116"/>
        <v>40995</v>
      </c>
      <c r="D1997" s="37" t="s">
        <v>1733</v>
      </c>
      <c r="E1997" s="191">
        <v>40995</v>
      </c>
      <c r="F1997" s="297" t="s">
        <v>1367</v>
      </c>
      <c r="G1997" s="490" t="s">
        <v>1561</v>
      </c>
      <c r="H1997" s="7" t="s">
        <v>1700</v>
      </c>
      <c r="I1997" s="252">
        <v>300</v>
      </c>
      <c r="J1997" s="252">
        <v>13471</v>
      </c>
      <c r="K1997" s="38">
        <f t="shared" si="117"/>
        <v>4041300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B1997" s="211"/>
    </row>
    <row r="1998" spans="1:28" ht="15.75" customHeight="1">
      <c r="A1998" s="204" t="str">
        <f>IF(B1998&lt;&gt;"",IF(AND(B1998&gt;=_TM1,B1998&lt;=_TM2,OR(TH!L1998="1111",TH!M1998="1111")),TH!D1998,""),"")</f>
        <v/>
      </c>
      <c r="B1998" s="36">
        <f t="shared" si="118"/>
        <v>3</v>
      </c>
      <c r="C1998" s="37">
        <f t="shared" si="116"/>
        <v>40995</v>
      </c>
      <c r="D1998" s="37" t="s">
        <v>1733</v>
      </c>
      <c r="E1998" s="191">
        <v>40995</v>
      </c>
      <c r="F1998" s="297" t="s">
        <v>1366</v>
      </c>
      <c r="G1998" s="490" t="s">
        <v>1561</v>
      </c>
      <c r="H1998" s="7" t="s">
        <v>1700</v>
      </c>
      <c r="I1998" s="252">
        <v>21</v>
      </c>
      <c r="J1998" s="252">
        <v>8768</v>
      </c>
      <c r="K1998" s="38">
        <f t="shared" si="117"/>
        <v>184128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B1998" s="211"/>
    </row>
    <row r="1999" spans="1:28" ht="15.75" customHeight="1">
      <c r="A1999" s="204" t="str">
        <f>IF(B1999&lt;&gt;"",IF(AND(B1999&gt;=_TM1,B1999&lt;=_TM2,OR(TH!L1999="1111",TH!M1999="1111")),TH!D1999,""),"")</f>
        <v/>
      </c>
      <c r="B1999" s="36">
        <f t="shared" si="118"/>
        <v>3</v>
      </c>
      <c r="C1999" s="37">
        <f t="shared" si="116"/>
        <v>40995</v>
      </c>
      <c r="D1999" s="37" t="s">
        <v>1733</v>
      </c>
      <c r="E1999" s="191">
        <v>40995</v>
      </c>
      <c r="F1999" s="297" t="s">
        <v>1366</v>
      </c>
      <c r="G1999" s="490" t="s">
        <v>1561</v>
      </c>
      <c r="H1999" s="7" t="s">
        <v>1700</v>
      </c>
      <c r="I1999" s="252">
        <v>22</v>
      </c>
      <c r="J1999" s="252">
        <v>8768</v>
      </c>
      <c r="K1999" s="38">
        <f t="shared" si="117"/>
        <v>192896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B1999" s="211"/>
    </row>
    <row r="2000" spans="1:28" s="894" customFormat="1" ht="15.75" customHeight="1">
      <c r="A2000" s="204" t="str">
        <f>IF(B2000&lt;&gt;"",IF(AND(B2000&gt;=_TM1,B2000&lt;=_TM2,OR(TH!L2000="1111",TH!M2000="1111")),TH!D2000,""),"")</f>
        <v/>
      </c>
      <c r="B2000" s="885">
        <f t="shared" si="118"/>
        <v>4</v>
      </c>
      <c r="C2000" s="911">
        <f t="shared" si="116"/>
        <v>41000</v>
      </c>
      <c r="D2000" s="886" t="s">
        <v>1707</v>
      </c>
      <c r="E2000" s="886">
        <v>41000</v>
      </c>
      <c r="F2000" s="887" t="s">
        <v>1298</v>
      </c>
      <c r="G2000" s="888" t="s">
        <v>965</v>
      </c>
      <c r="H2000" s="914" t="s">
        <v>1700</v>
      </c>
      <c r="I2000" s="890">
        <v>260</v>
      </c>
      <c r="J2000" s="890">
        <v>18306</v>
      </c>
      <c r="K2000" s="891">
        <f t="shared" ref="K2000:K2063" si="119">ROUND(I2000*J2000,0)</f>
        <v>4759560</v>
      </c>
      <c r="L2000" s="912" t="s">
        <v>175</v>
      </c>
      <c r="M2000" s="912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>154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customHeight="1">
      <c r="A2001" s="204" t="str">
        <f>IF(B2001&lt;&gt;"",IF(AND(B2001&gt;=_TM1,B2001&lt;=_TM2,OR(TH!L2001="1111",TH!M2001="1111")),TH!D2001,""),"")</f>
        <v/>
      </c>
      <c r="B2001" s="36">
        <f t="shared" si="118"/>
        <v>4</v>
      </c>
      <c r="C2001" s="37">
        <f t="shared" si="116"/>
        <v>41000</v>
      </c>
      <c r="D2001" s="191" t="s">
        <v>1707</v>
      </c>
      <c r="E2001" s="191">
        <v>41000</v>
      </c>
      <c r="F2001" s="192" t="s">
        <v>1394</v>
      </c>
      <c r="G2001" s="490" t="s">
        <v>965</v>
      </c>
      <c r="H2001" s="7" t="s">
        <v>1700</v>
      </c>
      <c r="I2001" s="252">
        <v>60</v>
      </c>
      <c r="J2001" s="252">
        <v>19819</v>
      </c>
      <c r="K2001" s="38">
        <f t="shared" si="119"/>
        <v>1189140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>154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customHeight="1">
      <c r="A2002" s="204" t="str">
        <f>IF(B2002&lt;&gt;"",IF(AND(B2002&gt;=_TM1,B2002&lt;=_TM2,OR(TH!L2002="1111",TH!M2002="1111")),TH!D2002,""),"")</f>
        <v/>
      </c>
      <c r="B2002" s="36">
        <f t="shared" si="118"/>
        <v>4</v>
      </c>
      <c r="C2002" s="37">
        <f t="shared" si="116"/>
        <v>41000</v>
      </c>
      <c r="D2002" s="191" t="s">
        <v>1707</v>
      </c>
      <c r="E2002" s="191">
        <v>41000</v>
      </c>
      <c r="F2002" s="192" t="s">
        <v>1394</v>
      </c>
      <c r="G2002" s="490" t="s">
        <v>966</v>
      </c>
      <c r="H2002" s="7" t="s">
        <v>1700</v>
      </c>
      <c r="I2002" s="252">
        <v>150</v>
      </c>
      <c r="J2002" s="252">
        <v>19819</v>
      </c>
      <c r="K2002" s="38">
        <f t="shared" si="119"/>
        <v>2972850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>154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customHeight="1">
      <c r="A2003" s="204" t="str">
        <f>IF(B2003&lt;&gt;"",IF(AND(B2003&gt;=_TM1,B2003&lt;=_TM2,OR(TH!L2003="1111",TH!M2003="1111")),TH!D2003,""),"")</f>
        <v/>
      </c>
      <c r="B2003" s="36">
        <f t="shared" si="118"/>
        <v>4</v>
      </c>
      <c r="C2003" s="37">
        <f t="shared" si="116"/>
        <v>41001</v>
      </c>
      <c r="D2003" s="191" t="s">
        <v>1708</v>
      </c>
      <c r="E2003" s="191">
        <v>41001</v>
      </c>
      <c r="F2003" s="192" t="s">
        <v>1307</v>
      </c>
      <c r="G2003" s="490" t="s">
        <v>967</v>
      </c>
      <c r="H2003" s="7" t="s">
        <v>1700</v>
      </c>
      <c r="I2003" s="252">
        <v>425</v>
      </c>
      <c r="J2003" s="252">
        <v>29100</v>
      </c>
      <c r="K2003" s="38">
        <f t="shared" si="119"/>
        <v>12367500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>154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customHeight="1">
      <c r="A2004" s="204" t="str">
        <f>IF(B2004&lt;&gt;"",IF(AND(B2004&gt;=_TM1,B2004&lt;=_TM2,OR(TH!L2004="1111",TH!M2004="1111")),TH!D2004,""),"")</f>
        <v/>
      </c>
      <c r="B2004" s="36">
        <f t="shared" si="118"/>
        <v>4</v>
      </c>
      <c r="C2004" s="37">
        <f t="shared" si="116"/>
        <v>41006</v>
      </c>
      <c r="D2004" s="191" t="s">
        <v>1709</v>
      </c>
      <c r="E2004" s="191">
        <v>41006</v>
      </c>
      <c r="F2004" s="192" t="s">
        <v>1431</v>
      </c>
      <c r="G2004" s="490" t="s">
        <v>968</v>
      </c>
      <c r="H2004" s="7" t="s">
        <v>1700</v>
      </c>
      <c r="I2004" s="252">
        <v>235</v>
      </c>
      <c r="J2004" s="252">
        <v>11882</v>
      </c>
      <c r="K2004" s="38">
        <f t="shared" si="119"/>
        <v>2792270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>154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customHeight="1">
      <c r="A2005" s="204" t="str">
        <f>IF(B2005&lt;&gt;"",IF(AND(B2005&gt;=_TM1,B2005&lt;=_TM2,OR(TH!L2005="1111",TH!M2005="1111")),TH!D2005,""),"")</f>
        <v/>
      </c>
      <c r="B2005" s="36">
        <f t="shared" si="118"/>
        <v>4</v>
      </c>
      <c r="C2005" s="37">
        <f t="shared" si="116"/>
        <v>41006</v>
      </c>
      <c r="D2005" s="191" t="s">
        <v>1709</v>
      </c>
      <c r="E2005" s="191">
        <v>41006</v>
      </c>
      <c r="F2005" s="192" t="s">
        <v>1446</v>
      </c>
      <c r="G2005" s="490" t="s">
        <v>968</v>
      </c>
      <c r="H2005" s="7" t="s">
        <v>1700</v>
      </c>
      <c r="I2005" s="252">
        <v>250</v>
      </c>
      <c r="J2005" s="252">
        <v>10290</v>
      </c>
      <c r="K2005" s="38">
        <f t="shared" si="119"/>
        <v>2572500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>154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customHeight="1">
      <c r="A2006" s="204" t="str">
        <f>IF(B2006&lt;&gt;"",IF(AND(B2006&gt;=_TM1,B2006&lt;=_TM2,OR(TH!L2006="1111",TH!M2006="1111")),TH!D2006,""),"")</f>
        <v/>
      </c>
      <c r="B2006" s="36">
        <f t="shared" si="118"/>
        <v>4</v>
      </c>
      <c r="C2006" s="37">
        <f t="shared" si="116"/>
        <v>41006</v>
      </c>
      <c r="D2006" s="191" t="s">
        <v>1709</v>
      </c>
      <c r="E2006" s="191">
        <v>41006</v>
      </c>
      <c r="F2006" s="189" t="s">
        <v>1417</v>
      </c>
      <c r="G2006" s="490" t="s">
        <v>969</v>
      </c>
      <c r="H2006" s="7" t="s">
        <v>1700</v>
      </c>
      <c r="I2006" s="252">
        <v>50</v>
      </c>
      <c r="J2006" s="252">
        <v>22224</v>
      </c>
      <c r="K2006" s="38">
        <f t="shared" si="119"/>
        <v>1111200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>154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customHeight="1">
      <c r="A2007" s="204" t="str">
        <f>IF(B2007&lt;&gt;"",IF(AND(B2007&gt;=_TM1,B2007&lt;=_TM2,OR(TH!L2007="1111",TH!M2007="1111")),TH!D2007,""),"")</f>
        <v/>
      </c>
      <c r="B2007" s="36">
        <f t="shared" si="118"/>
        <v>4</v>
      </c>
      <c r="C2007" s="37">
        <f t="shared" si="116"/>
        <v>41006</v>
      </c>
      <c r="D2007" s="191" t="s">
        <v>1709</v>
      </c>
      <c r="E2007" s="191">
        <v>41006</v>
      </c>
      <c r="F2007" s="192" t="s">
        <v>1288</v>
      </c>
      <c r="G2007" s="490" t="s">
        <v>969</v>
      </c>
      <c r="H2007" s="7" t="s">
        <v>1700</v>
      </c>
      <c r="I2007" s="252">
        <v>7</v>
      </c>
      <c r="J2007" s="252">
        <v>11995.285714285714</v>
      </c>
      <c r="K2007" s="38">
        <f t="shared" si="119"/>
        <v>83967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>154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customHeight="1">
      <c r="A2008" s="204" t="str">
        <f>IF(B2008&lt;&gt;"",IF(AND(B2008&gt;=_TM1,B2008&lt;=_TM2,OR(TH!L2008="1111",TH!M2008="1111")),TH!D2008,""),"")</f>
        <v/>
      </c>
      <c r="B2008" s="36">
        <f t="shared" si="118"/>
        <v>4</v>
      </c>
      <c r="C2008" s="37">
        <f t="shared" ref="C2008:C2071" si="120">E2008</f>
        <v>41007</v>
      </c>
      <c r="D2008" s="191" t="s">
        <v>1710</v>
      </c>
      <c r="E2008" s="191">
        <v>41007</v>
      </c>
      <c r="F2008" s="192" t="s">
        <v>1391</v>
      </c>
      <c r="G2008" s="490" t="s">
        <v>970</v>
      </c>
      <c r="H2008" s="7" t="s">
        <v>1700</v>
      </c>
      <c r="I2008" s="252">
        <v>95</v>
      </c>
      <c r="J2008" s="252">
        <v>13099</v>
      </c>
      <c r="K2008" s="38">
        <f t="shared" si="119"/>
        <v>1244405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>154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customHeight="1">
      <c r="A2009" s="204" t="str">
        <f>IF(B2009&lt;&gt;"",IF(AND(B2009&gt;=_TM1,B2009&lt;=_TM2,OR(TH!L2009="1111",TH!M2009="1111")),TH!D2009,""),"")</f>
        <v/>
      </c>
      <c r="B2009" s="36">
        <f t="shared" si="118"/>
        <v>4</v>
      </c>
      <c r="C2009" s="37">
        <f t="shared" si="120"/>
        <v>41013</v>
      </c>
      <c r="D2009" s="191" t="s">
        <v>1711</v>
      </c>
      <c r="E2009" s="191">
        <v>41013</v>
      </c>
      <c r="F2009" s="192" t="s">
        <v>1370</v>
      </c>
      <c r="G2009" s="490" t="s">
        <v>971</v>
      </c>
      <c r="H2009" s="7" t="s">
        <v>1700</v>
      </c>
      <c r="I2009" s="252">
        <v>520</v>
      </c>
      <c r="J2009" s="252">
        <v>14656</v>
      </c>
      <c r="K2009" s="38">
        <f t="shared" si="119"/>
        <v>7621120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>154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customHeight="1">
      <c r="A2010" s="204" t="str">
        <f>IF(B2010&lt;&gt;"",IF(AND(B2010&gt;=_TM1,B2010&lt;=_TM2,OR(TH!L2010="1111",TH!M2010="1111")),TH!D2010,""),"")</f>
        <v/>
      </c>
      <c r="B2010" s="36">
        <f t="shared" si="118"/>
        <v>4</v>
      </c>
      <c r="C2010" s="37">
        <f t="shared" si="120"/>
        <v>41013</v>
      </c>
      <c r="D2010" s="191" t="s">
        <v>1711</v>
      </c>
      <c r="E2010" s="191">
        <v>41013</v>
      </c>
      <c r="F2010" s="192" t="s">
        <v>1412</v>
      </c>
      <c r="G2010" s="490" t="s">
        <v>1562</v>
      </c>
      <c r="H2010" s="7" t="s">
        <v>1700</v>
      </c>
      <c r="I2010" s="252">
        <v>147</v>
      </c>
      <c r="J2010" s="252">
        <v>15429</v>
      </c>
      <c r="K2010" s="38">
        <f t="shared" si="119"/>
        <v>2268063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>154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customHeight="1">
      <c r="A2011" s="204" t="str">
        <f>IF(B2011&lt;&gt;"",IF(AND(B2011&gt;=_TM1,B2011&lt;=_TM2,OR(TH!L2011="1111",TH!M2011="1111")),TH!D2011,""),"")</f>
        <v/>
      </c>
      <c r="B2011" s="36">
        <f t="shared" si="118"/>
        <v>4</v>
      </c>
      <c r="C2011" s="37">
        <f t="shared" si="120"/>
        <v>41013</v>
      </c>
      <c r="D2011" s="191" t="s">
        <v>1711</v>
      </c>
      <c r="E2011" s="191">
        <v>41013</v>
      </c>
      <c r="F2011" s="192" t="s">
        <v>1319</v>
      </c>
      <c r="G2011" s="490" t="s">
        <v>1562</v>
      </c>
      <c r="H2011" s="7" t="s">
        <v>1700</v>
      </c>
      <c r="I2011" s="252">
        <v>100</v>
      </c>
      <c r="J2011" s="252">
        <v>29734</v>
      </c>
      <c r="K2011" s="38">
        <f t="shared" si="119"/>
        <v>2973400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>154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customHeight="1">
      <c r="A2012" s="204" t="str">
        <f>IF(B2012&lt;&gt;"",IF(AND(B2012&gt;=_TM1,B2012&lt;=_TM2,OR(TH!L2012="1111",TH!M2012="1111")),TH!D2012,""),"")</f>
        <v/>
      </c>
      <c r="B2012" s="36">
        <f t="shared" si="118"/>
        <v>4</v>
      </c>
      <c r="C2012" s="37">
        <f t="shared" si="120"/>
        <v>41013</v>
      </c>
      <c r="D2012" s="191" t="s">
        <v>1711</v>
      </c>
      <c r="E2012" s="191">
        <v>41013</v>
      </c>
      <c r="F2012" s="192" t="s">
        <v>1412</v>
      </c>
      <c r="G2012" s="490" t="s">
        <v>1562</v>
      </c>
      <c r="H2012" s="7" t="s">
        <v>1700</v>
      </c>
      <c r="I2012" s="252">
        <v>203</v>
      </c>
      <c r="J2012" s="252">
        <v>15429</v>
      </c>
      <c r="K2012" s="38">
        <f t="shared" si="119"/>
        <v>3132087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>154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customHeight="1">
      <c r="A2013" s="204" t="str">
        <f>IF(B2013&lt;&gt;"",IF(AND(B2013&gt;=_TM1,B2013&lt;=_TM2,OR(TH!L2013="1111",TH!M2013="1111")),TH!D2013,""),"")</f>
        <v/>
      </c>
      <c r="B2013" s="36">
        <f t="shared" si="118"/>
        <v>4</v>
      </c>
      <c r="C2013" s="37">
        <f t="shared" si="120"/>
        <v>41013</v>
      </c>
      <c r="D2013" s="191" t="s">
        <v>1711</v>
      </c>
      <c r="E2013" s="191">
        <v>41013</v>
      </c>
      <c r="F2013" s="192" t="s">
        <v>1320</v>
      </c>
      <c r="G2013" s="490" t="s">
        <v>972</v>
      </c>
      <c r="H2013" s="7" t="s">
        <v>1700</v>
      </c>
      <c r="I2013" s="252">
        <v>120</v>
      </c>
      <c r="J2013" s="252">
        <v>26664</v>
      </c>
      <c r="K2013" s="38">
        <f t="shared" si="119"/>
        <v>3199680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>154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customHeight="1">
      <c r="A2014" s="204" t="str">
        <f>IF(B2014&lt;&gt;"",IF(AND(B2014&gt;=_TM1,B2014&lt;=_TM2,OR(TH!L2014="1111",TH!M2014="1111")),TH!D2014,""),"")</f>
        <v/>
      </c>
      <c r="B2014" s="36">
        <f t="shared" si="118"/>
        <v>4</v>
      </c>
      <c r="C2014" s="37">
        <f t="shared" si="120"/>
        <v>41013</v>
      </c>
      <c r="D2014" s="191" t="s">
        <v>1711</v>
      </c>
      <c r="E2014" s="191">
        <v>41013</v>
      </c>
      <c r="F2014" s="192" t="s">
        <v>1333</v>
      </c>
      <c r="G2014" s="490" t="s">
        <v>972</v>
      </c>
      <c r="H2014" s="7" t="s">
        <v>1700</v>
      </c>
      <c r="I2014" s="252">
        <v>150</v>
      </c>
      <c r="J2014" s="252">
        <v>25376</v>
      </c>
      <c r="K2014" s="38">
        <f t="shared" si="119"/>
        <v>3806400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>154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customHeight="1">
      <c r="A2015" s="204" t="str">
        <f>IF(B2015&lt;&gt;"",IF(AND(B2015&gt;=_TM1,B2015&lt;=_TM2,OR(TH!L2015="1111",TH!M2015="1111")),TH!D2015,""),"")</f>
        <v/>
      </c>
      <c r="B2015" s="36">
        <f t="shared" si="118"/>
        <v>4</v>
      </c>
      <c r="C2015" s="37">
        <f t="shared" si="120"/>
        <v>41013</v>
      </c>
      <c r="D2015" s="191" t="s">
        <v>1711</v>
      </c>
      <c r="E2015" s="191">
        <v>41013</v>
      </c>
      <c r="F2015" s="192" t="s">
        <v>1305</v>
      </c>
      <c r="G2015" s="490" t="s">
        <v>972</v>
      </c>
      <c r="H2015" s="7" t="s">
        <v>1700</v>
      </c>
      <c r="I2015" s="252">
        <v>150</v>
      </c>
      <c r="J2015" s="252">
        <v>15041.901109989909</v>
      </c>
      <c r="K2015" s="38">
        <f t="shared" si="119"/>
        <v>2256285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>154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customHeight="1">
      <c r="A2016" s="204" t="str">
        <f>IF(B2016&lt;&gt;"",IF(AND(B2016&gt;=_TM1,B2016&lt;=_TM2,OR(TH!L2016="1111",TH!M2016="1111")),TH!D2016,""),"")</f>
        <v/>
      </c>
      <c r="B2016" s="36">
        <f t="shared" si="118"/>
        <v>4</v>
      </c>
      <c r="C2016" s="37">
        <f t="shared" si="120"/>
        <v>41013</v>
      </c>
      <c r="D2016" s="191" t="s">
        <v>1711</v>
      </c>
      <c r="E2016" s="191">
        <v>41013</v>
      </c>
      <c r="F2016" s="192" t="s">
        <v>1445</v>
      </c>
      <c r="G2016" s="490" t="s">
        <v>972</v>
      </c>
      <c r="H2016" s="7" t="s">
        <v>1700</v>
      </c>
      <c r="I2016" s="252">
        <v>91</v>
      </c>
      <c r="J2016" s="252">
        <v>23370</v>
      </c>
      <c r="K2016" s="38">
        <f t="shared" si="119"/>
        <v>2126670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>154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customHeight="1">
      <c r="A2017" s="204" t="str">
        <f>IF(B2017&lt;&gt;"",IF(AND(B2017&gt;=_TM1,B2017&lt;=_TM2,OR(TH!L2017="1111",TH!M2017="1111")),TH!D2017,""),"")</f>
        <v/>
      </c>
      <c r="B2017" s="36">
        <f t="shared" si="118"/>
        <v>4</v>
      </c>
      <c r="C2017" s="37">
        <f t="shared" si="120"/>
        <v>41017</v>
      </c>
      <c r="D2017" s="191" t="s">
        <v>1712</v>
      </c>
      <c r="E2017" s="191">
        <v>41017</v>
      </c>
      <c r="F2017" s="192" t="s">
        <v>1407</v>
      </c>
      <c r="G2017" s="490" t="s">
        <v>974</v>
      </c>
      <c r="H2017" s="7" t="s">
        <v>1700</v>
      </c>
      <c r="I2017" s="252">
        <v>50</v>
      </c>
      <c r="J2017" s="252">
        <v>10613</v>
      </c>
      <c r="K2017" s="38">
        <f t="shared" si="119"/>
        <v>530650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>154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customHeight="1">
      <c r="A2018" s="204" t="str">
        <f>IF(B2018&lt;&gt;"",IF(AND(B2018&gt;=_TM1,B2018&lt;=_TM2,OR(TH!L2018="1111",TH!M2018="1111")),TH!D2018,""),"")</f>
        <v/>
      </c>
      <c r="B2018" s="36">
        <f t="shared" si="118"/>
        <v>4</v>
      </c>
      <c r="C2018" s="37">
        <f t="shared" si="120"/>
        <v>41020</v>
      </c>
      <c r="D2018" s="191" t="s">
        <v>1713</v>
      </c>
      <c r="E2018" s="191">
        <v>41020</v>
      </c>
      <c r="F2018" s="192" t="s">
        <v>789</v>
      </c>
      <c r="G2018" s="490" t="s">
        <v>975</v>
      </c>
      <c r="H2018" s="7" t="s">
        <v>1700</v>
      </c>
      <c r="I2018" s="252">
        <v>100</v>
      </c>
      <c r="J2018" s="252">
        <v>21081.599999999999</v>
      </c>
      <c r="K2018" s="38">
        <f t="shared" si="119"/>
        <v>2108160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>154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customHeight="1">
      <c r="A2019" s="204" t="str">
        <f>IF(B2019&lt;&gt;"",IF(AND(B2019&gt;=_TM1,B2019&lt;=_TM2,OR(TH!L2019="1111",TH!M2019="1111")),TH!D2019,""),"")</f>
        <v/>
      </c>
      <c r="B2019" s="36">
        <f t="shared" si="118"/>
        <v>4</v>
      </c>
      <c r="C2019" s="37">
        <f t="shared" si="120"/>
        <v>41020</v>
      </c>
      <c r="D2019" s="191" t="s">
        <v>1713</v>
      </c>
      <c r="E2019" s="191">
        <v>41020</v>
      </c>
      <c r="F2019" s="192" t="s">
        <v>1327</v>
      </c>
      <c r="G2019" s="490" t="s">
        <v>975</v>
      </c>
      <c r="H2019" s="7" t="s">
        <v>1700</v>
      </c>
      <c r="I2019" s="252">
        <v>250</v>
      </c>
      <c r="J2019" s="252">
        <v>19843</v>
      </c>
      <c r="K2019" s="38">
        <f t="shared" si="119"/>
        <v>4960750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>154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customHeight="1">
      <c r="A2020" s="204" t="str">
        <f>IF(B2020&lt;&gt;"",IF(AND(B2020&gt;=_TM1,B2020&lt;=_TM2,OR(TH!L2020="1111",TH!M2020="1111")),TH!D2020,""),"")</f>
        <v/>
      </c>
      <c r="B2020" s="36">
        <f t="shared" si="118"/>
        <v>4</v>
      </c>
      <c r="C2020" s="37">
        <f t="shared" si="120"/>
        <v>41020</v>
      </c>
      <c r="D2020" s="191" t="s">
        <v>1713</v>
      </c>
      <c r="E2020" s="191">
        <v>41020</v>
      </c>
      <c r="F2020" s="192" t="s">
        <v>1286</v>
      </c>
      <c r="G2020" s="490" t="s">
        <v>978</v>
      </c>
      <c r="H2020" s="7" t="s">
        <v>1700</v>
      </c>
      <c r="I2020" s="252">
        <v>100</v>
      </c>
      <c r="J2020" s="252">
        <v>22361</v>
      </c>
      <c r="K2020" s="38">
        <f t="shared" si="119"/>
        <v>2236100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>154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customHeight="1">
      <c r="A2021" s="204" t="str">
        <f>IF(B2021&lt;&gt;"",IF(AND(B2021&gt;=_TM1,B2021&lt;=_TM2,OR(TH!L2021="1111",TH!M2021="1111")),TH!D2021,""),"")</f>
        <v/>
      </c>
      <c r="B2021" s="36">
        <f t="shared" si="118"/>
        <v>4</v>
      </c>
      <c r="C2021" s="37">
        <f t="shared" si="120"/>
        <v>41022</v>
      </c>
      <c r="D2021" s="191" t="s">
        <v>1714</v>
      </c>
      <c r="E2021" s="191">
        <v>41022</v>
      </c>
      <c r="F2021" s="192" t="s">
        <v>1389</v>
      </c>
      <c r="G2021" s="490" t="s">
        <v>979</v>
      </c>
      <c r="H2021" s="7" t="s">
        <v>1700</v>
      </c>
      <c r="I2021" s="252">
        <v>100</v>
      </c>
      <c r="J2021" s="252">
        <v>8807</v>
      </c>
      <c r="K2021" s="38">
        <f t="shared" si="119"/>
        <v>880700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>154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customHeight="1">
      <c r="A2022" s="204" t="str">
        <f>IF(B2022&lt;&gt;"",IF(AND(B2022&gt;=_TM1,B2022&lt;=_TM2,OR(TH!L2022="1111",TH!M2022="1111")),TH!D2022,""),"")</f>
        <v/>
      </c>
      <c r="B2022" s="36">
        <f t="shared" si="118"/>
        <v>4</v>
      </c>
      <c r="C2022" s="37">
        <f t="shared" si="120"/>
        <v>41022</v>
      </c>
      <c r="D2022" s="191" t="s">
        <v>1714</v>
      </c>
      <c r="E2022" s="191">
        <v>41022</v>
      </c>
      <c r="F2022" s="192" t="s">
        <v>1264</v>
      </c>
      <c r="G2022" s="490" t="s">
        <v>979</v>
      </c>
      <c r="H2022" s="7" t="s">
        <v>1700</v>
      </c>
      <c r="I2022" s="252">
        <v>238</v>
      </c>
      <c r="J2022" s="252">
        <v>15913</v>
      </c>
      <c r="K2022" s="38">
        <f t="shared" si="119"/>
        <v>3787294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>154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customHeight="1">
      <c r="A2023" s="204" t="str">
        <f>IF(B2023&lt;&gt;"",IF(AND(B2023&gt;=_TM1,B2023&lt;=_TM2,OR(TH!L2023="1111",TH!M2023="1111")),TH!D2023,""),"")</f>
        <v/>
      </c>
      <c r="B2023" s="36">
        <f t="shared" si="118"/>
        <v>4</v>
      </c>
      <c r="C2023" s="37">
        <f t="shared" si="120"/>
        <v>41022</v>
      </c>
      <c r="D2023" s="191" t="s">
        <v>1714</v>
      </c>
      <c r="E2023" s="191">
        <v>41022</v>
      </c>
      <c r="F2023" s="192" t="s">
        <v>1302</v>
      </c>
      <c r="G2023" s="490" t="s">
        <v>1566</v>
      </c>
      <c r="H2023" s="7" t="s">
        <v>1700</v>
      </c>
      <c r="I2023" s="252">
        <v>100</v>
      </c>
      <c r="J2023" s="252">
        <v>30012</v>
      </c>
      <c r="K2023" s="38">
        <f t="shared" si="119"/>
        <v>3001200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>154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customHeight="1">
      <c r="A2024" s="204" t="str">
        <f>IF(B2024&lt;&gt;"",IF(AND(B2024&gt;=_TM1,B2024&lt;=_TM2,OR(TH!L2024="1111",TH!M2024="1111")),TH!D2024,""),"")</f>
        <v/>
      </c>
      <c r="B2024" s="36">
        <f t="shared" si="118"/>
        <v>4</v>
      </c>
      <c r="C2024" s="37">
        <f t="shared" si="120"/>
        <v>41022</v>
      </c>
      <c r="D2024" s="191" t="s">
        <v>1714</v>
      </c>
      <c r="E2024" s="191">
        <v>41022</v>
      </c>
      <c r="F2024" s="192" t="s">
        <v>1372</v>
      </c>
      <c r="G2024" s="490" t="s">
        <v>1566</v>
      </c>
      <c r="H2024" s="7" t="s">
        <v>1700</v>
      </c>
      <c r="I2024" s="252">
        <v>160</v>
      </c>
      <c r="J2024" s="252">
        <v>21859</v>
      </c>
      <c r="K2024" s="38">
        <f t="shared" si="119"/>
        <v>3497440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>154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customHeight="1">
      <c r="A2025" s="204" t="str">
        <f>IF(B2025&lt;&gt;"",IF(AND(B2025&gt;=_TM1,B2025&lt;=_TM2,OR(TH!L2025="1111",TH!M2025="1111")),TH!D2025,""),"")</f>
        <v/>
      </c>
      <c r="B2025" s="36">
        <f t="shared" si="118"/>
        <v>4</v>
      </c>
      <c r="C2025" s="37">
        <f t="shared" si="120"/>
        <v>41022</v>
      </c>
      <c r="D2025" s="191" t="s">
        <v>1714</v>
      </c>
      <c r="E2025" s="191">
        <v>41022</v>
      </c>
      <c r="F2025" s="192" t="s">
        <v>1290</v>
      </c>
      <c r="G2025" s="490" t="s">
        <v>1566</v>
      </c>
      <c r="H2025" s="7" t="s">
        <v>1700</v>
      </c>
      <c r="I2025" s="252">
        <v>100</v>
      </c>
      <c r="J2025" s="252">
        <v>40996</v>
      </c>
      <c r="K2025" s="38">
        <f t="shared" si="119"/>
        <v>4099600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>154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customHeight="1">
      <c r="A2026" s="204" t="str">
        <f>IF(B2026&lt;&gt;"",IF(AND(B2026&gt;=_TM1,B2026&lt;=_TM2,OR(TH!L2026="1111",TH!M2026="1111")),TH!D2026,""),"")</f>
        <v/>
      </c>
      <c r="B2026" s="36">
        <f t="shared" si="118"/>
        <v>4</v>
      </c>
      <c r="C2026" s="37">
        <f t="shared" si="120"/>
        <v>41022</v>
      </c>
      <c r="D2026" s="191" t="s">
        <v>1714</v>
      </c>
      <c r="E2026" s="191">
        <v>41022</v>
      </c>
      <c r="F2026" s="192" t="s">
        <v>1311</v>
      </c>
      <c r="G2026" s="490" t="s">
        <v>1566</v>
      </c>
      <c r="H2026" s="7" t="s">
        <v>1700</v>
      </c>
      <c r="I2026" s="252">
        <v>160</v>
      </c>
      <c r="J2026" s="252">
        <v>29232</v>
      </c>
      <c r="K2026" s="38">
        <f t="shared" si="119"/>
        <v>4677120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>154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customHeight="1">
      <c r="A2027" s="204" t="str">
        <f>IF(B2027&lt;&gt;"",IF(AND(B2027&gt;=_TM1,B2027&lt;=_TM2,OR(TH!L2027="1111",TH!M2027="1111")),TH!D2027,""),"")</f>
        <v/>
      </c>
      <c r="B2027" s="36">
        <f t="shared" si="118"/>
        <v>4</v>
      </c>
      <c r="C2027" s="37">
        <f t="shared" si="120"/>
        <v>41022</v>
      </c>
      <c r="D2027" s="191" t="s">
        <v>1714</v>
      </c>
      <c r="E2027" s="191">
        <v>41022</v>
      </c>
      <c r="F2027" s="192" t="s">
        <v>1280</v>
      </c>
      <c r="G2027" s="490" t="s">
        <v>1566</v>
      </c>
      <c r="H2027" s="7" t="s">
        <v>1700</v>
      </c>
      <c r="I2027" s="252">
        <v>220</v>
      </c>
      <c r="J2027" s="252">
        <v>24095</v>
      </c>
      <c r="K2027" s="38">
        <f t="shared" si="119"/>
        <v>5300900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>154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customHeight="1">
      <c r="A2028" s="204" t="str">
        <f>IF(B2028&lt;&gt;"",IF(AND(B2028&gt;=_TM1,B2028&lt;=_TM2,OR(TH!L2028="1111",TH!M2028="1111")),TH!D2028,""),"")</f>
        <v/>
      </c>
      <c r="B2028" s="36">
        <f t="shared" si="118"/>
        <v>4</v>
      </c>
      <c r="C2028" s="37">
        <f t="shared" si="120"/>
        <v>41022</v>
      </c>
      <c r="D2028" s="191" t="s">
        <v>1714</v>
      </c>
      <c r="E2028" s="191">
        <v>41022</v>
      </c>
      <c r="F2028" s="192" t="s">
        <v>1452</v>
      </c>
      <c r="G2028" s="490" t="s">
        <v>1566</v>
      </c>
      <c r="H2028" s="7" t="s">
        <v>1700</v>
      </c>
      <c r="I2028" s="252">
        <v>350</v>
      </c>
      <c r="J2028" s="252">
        <v>16128</v>
      </c>
      <c r="K2028" s="38">
        <f t="shared" si="119"/>
        <v>5644800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>154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customHeight="1">
      <c r="A2029" s="204" t="str">
        <f>IF(B2029&lt;&gt;"",IF(AND(B2029&gt;=_TM1,B2029&lt;=_TM2,OR(TH!L2029="1111",TH!M2029="1111")),TH!D2029,""),"")</f>
        <v/>
      </c>
      <c r="B2029" s="36">
        <f t="shared" si="118"/>
        <v>4</v>
      </c>
      <c r="C2029" s="37">
        <f t="shared" si="120"/>
        <v>41022</v>
      </c>
      <c r="D2029" s="191" t="s">
        <v>1714</v>
      </c>
      <c r="E2029" s="191">
        <v>41022</v>
      </c>
      <c r="F2029" s="192" t="s">
        <v>767</v>
      </c>
      <c r="G2029" s="490" t="s">
        <v>1566</v>
      </c>
      <c r="H2029" s="7" t="s">
        <v>1700</v>
      </c>
      <c r="I2029" s="252">
        <v>10</v>
      </c>
      <c r="J2029" s="252">
        <v>27405</v>
      </c>
      <c r="K2029" s="38">
        <f t="shared" si="119"/>
        <v>274050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>154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customHeight="1">
      <c r="A2030" s="204" t="str">
        <f>IF(B2030&lt;&gt;"",IF(AND(B2030&gt;=_TM1,B2030&lt;=_TM2,OR(TH!L2030="1111",TH!M2030="1111")),TH!D2030,""),"")</f>
        <v/>
      </c>
      <c r="B2030" s="36">
        <f t="shared" si="118"/>
        <v>4</v>
      </c>
      <c r="C2030" s="37">
        <f t="shared" si="120"/>
        <v>41022</v>
      </c>
      <c r="D2030" s="191" t="s">
        <v>1714</v>
      </c>
      <c r="E2030" s="191">
        <v>41022</v>
      </c>
      <c r="F2030" s="192" t="s">
        <v>1291</v>
      </c>
      <c r="G2030" s="490" t="s">
        <v>1566</v>
      </c>
      <c r="H2030" s="7" t="s">
        <v>1700</v>
      </c>
      <c r="I2030" s="252">
        <v>150</v>
      </c>
      <c r="J2030" s="252">
        <v>27900</v>
      </c>
      <c r="K2030" s="38">
        <f t="shared" si="119"/>
        <v>4185000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>154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customHeight="1">
      <c r="A2031" s="204" t="str">
        <f>IF(B2031&lt;&gt;"",IF(AND(B2031&gt;=_TM1,B2031&lt;=_TM2,OR(TH!L2031="1111",TH!M2031="1111")),TH!D2031,""),"")</f>
        <v/>
      </c>
      <c r="B2031" s="36">
        <f t="shared" si="118"/>
        <v>4</v>
      </c>
      <c r="C2031" s="37">
        <f t="shared" si="120"/>
        <v>41022</v>
      </c>
      <c r="D2031" s="191" t="s">
        <v>1714</v>
      </c>
      <c r="E2031" s="191">
        <v>41022</v>
      </c>
      <c r="F2031" s="192" t="s">
        <v>1404</v>
      </c>
      <c r="G2031" s="490" t="s">
        <v>1566</v>
      </c>
      <c r="H2031" s="7" t="s">
        <v>1700</v>
      </c>
      <c r="I2031" s="252">
        <v>100</v>
      </c>
      <c r="J2031" s="252">
        <v>5928</v>
      </c>
      <c r="K2031" s="38">
        <f t="shared" si="119"/>
        <v>592800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>154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customHeight="1">
      <c r="A2032" s="204" t="str">
        <f>IF(B2032&lt;&gt;"",IF(AND(B2032&gt;=_TM1,B2032&lt;=_TM2,OR(TH!L2032="1111",TH!M2032="1111")),TH!D2032,""),"")</f>
        <v/>
      </c>
      <c r="B2032" s="36">
        <f t="shared" si="118"/>
        <v>4</v>
      </c>
      <c r="C2032" s="37">
        <f t="shared" si="120"/>
        <v>41022</v>
      </c>
      <c r="D2032" s="191" t="s">
        <v>1714</v>
      </c>
      <c r="E2032" s="191">
        <v>41022</v>
      </c>
      <c r="F2032" s="192" t="s">
        <v>767</v>
      </c>
      <c r="G2032" s="490" t="s">
        <v>1566</v>
      </c>
      <c r="H2032" s="7" t="s">
        <v>1700</v>
      </c>
      <c r="I2032" s="252">
        <v>10</v>
      </c>
      <c r="J2032" s="252">
        <v>27405</v>
      </c>
      <c r="K2032" s="38">
        <f t="shared" si="119"/>
        <v>274050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>154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customHeight="1">
      <c r="A2033" s="204" t="str">
        <f>IF(B2033&lt;&gt;"",IF(AND(B2033&gt;=_TM1,B2033&lt;=_TM2,OR(TH!L2033="1111",TH!M2033="1111")),TH!D2033,""),"")</f>
        <v/>
      </c>
      <c r="B2033" s="36">
        <f t="shared" si="118"/>
        <v>4</v>
      </c>
      <c r="C2033" s="37">
        <f t="shared" si="120"/>
        <v>41022</v>
      </c>
      <c r="D2033" s="191" t="s">
        <v>1714</v>
      </c>
      <c r="E2033" s="191">
        <v>41022</v>
      </c>
      <c r="F2033" s="192" t="s">
        <v>1267</v>
      </c>
      <c r="G2033" s="490" t="s">
        <v>1010</v>
      </c>
      <c r="H2033" s="7" t="s">
        <v>1700</v>
      </c>
      <c r="I2033" s="252">
        <v>250</v>
      </c>
      <c r="J2033" s="252">
        <v>14375</v>
      </c>
      <c r="K2033" s="38">
        <f t="shared" si="119"/>
        <v>3593750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customHeight="1">
      <c r="A2034" s="204" t="str">
        <f>IF(B2034&lt;&gt;"",IF(AND(B2034&gt;=_TM1,B2034&lt;=_TM2,OR(TH!L2034="1111",TH!M2034="1111")),TH!D2034,""),"")</f>
        <v/>
      </c>
      <c r="B2034" s="36">
        <f t="shared" si="118"/>
        <v>4</v>
      </c>
      <c r="C2034" s="37">
        <f t="shared" si="120"/>
        <v>41022</v>
      </c>
      <c r="D2034" s="191" t="s">
        <v>1714</v>
      </c>
      <c r="E2034" s="191">
        <v>41022</v>
      </c>
      <c r="F2034" s="192" t="s">
        <v>1283</v>
      </c>
      <c r="G2034" s="490" t="s">
        <v>1010</v>
      </c>
      <c r="H2034" s="7" t="s">
        <v>1700</v>
      </c>
      <c r="I2034" s="252">
        <v>454</v>
      </c>
      <c r="J2034" s="252">
        <v>11150</v>
      </c>
      <c r="K2034" s="38">
        <f t="shared" si="119"/>
        <v>5062100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>154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customHeight="1">
      <c r="A2035" s="204" t="str">
        <f>IF(B2035&lt;&gt;"",IF(AND(B2035&gt;=_TM1,B2035&lt;=_TM2,OR(TH!L2035="1111",TH!M2035="1111")),TH!D2035,""),"")</f>
        <v/>
      </c>
      <c r="B2035" s="36">
        <f t="shared" si="118"/>
        <v>4</v>
      </c>
      <c r="C2035" s="37">
        <f t="shared" si="120"/>
        <v>41022</v>
      </c>
      <c r="D2035" s="191" t="s">
        <v>1714</v>
      </c>
      <c r="E2035" s="191">
        <v>41022</v>
      </c>
      <c r="F2035" s="192" t="s">
        <v>1369</v>
      </c>
      <c r="G2035" s="490" t="s">
        <v>1010</v>
      </c>
      <c r="H2035" s="7" t="s">
        <v>1700</v>
      </c>
      <c r="I2035" s="252">
        <v>340</v>
      </c>
      <c r="J2035" s="252">
        <v>13176</v>
      </c>
      <c r="K2035" s="38">
        <f t="shared" si="119"/>
        <v>4479840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>154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customHeight="1">
      <c r="A2036" s="204" t="str">
        <f>IF(B2036&lt;&gt;"",IF(AND(B2036&gt;=_TM1,B2036&lt;=_TM2,OR(TH!L2036="1111",TH!M2036="1111")),TH!D2036,""),"")</f>
        <v/>
      </c>
      <c r="B2036" s="36">
        <f t="shared" si="118"/>
        <v>4</v>
      </c>
      <c r="C2036" s="37">
        <f t="shared" si="120"/>
        <v>41022</v>
      </c>
      <c r="D2036" s="191" t="s">
        <v>1714</v>
      </c>
      <c r="E2036" s="191">
        <v>41022</v>
      </c>
      <c r="F2036" s="192" t="s">
        <v>1391</v>
      </c>
      <c r="G2036" s="490" t="s">
        <v>1010</v>
      </c>
      <c r="H2036" s="7" t="s">
        <v>1700</v>
      </c>
      <c r="I2036" s="252">
        <v>244</v>
      </c>
      <c r="J2036" s="252">
        <v>13099</v>
      </c>
      <c r="K2036" s="38">
        <f t="shared" si="119"/>
        <v>3196156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>154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customHeight="1">
      <c r="A2037" s="204" t="str">
        <f>IF(B2037&lt;&gt;"",IF(AND(B2037&gt;=_TM1,B2037&lt;=_TM2,OR(TH!L2037="1111",TH!M2037="1111")),TH!D2037,""),"")</f>
        <v/>
      </c>
      <c r="B2037" s="36">
        <f t="shared" si="118"/>
        <v>4</v>
      </c>
      <c r="C2037" s="37">
        <f t="shared" si="120"/>
        <v>41022</v>
      </c>
      <c r="D2037" s="191" t="s">
        <v>1714</v>
      </c>
      <c r="E2037" s="191">
        <v>41022</v>
      </c>
      <c r="F2037" s="192" t="s">
        <v>1447</v>
      </c>
      <c r="G2037" s="490" t="s">
        <v>1010</v>
      </c>
      <c r="H2037" s="7" t="s">
        <v>1700</v>
      </c>
      <c r="I2037" s="252">
        <v>500</v>
      </c>
      <c r="J2037" s="252">
        <v>16748</v>
      </c>
      <c r="K2037" s="38">
        <f t="shared" si="119"/>
        <v>8374000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>154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customHeight="1">
      <c r="A2038" s="204" t="str">
        <f>IF(B2038&lt;&gt;"",IF(AND(B2038&gt;=_TM1,B2038&lt;=_TM2,OR(TH!L2038="1111",TH!M2038="1111")),TH!D2038,""),"")</f>
        <v/>
      </c>
      <c r="B2038" s="36">
        <f t="shared" si="118"/>
        <v>4</v>
      </c>
      <c r="C2038" s="37">
        <f t="shared" si="120"/>
        <v>41022</v>
      </c>
      <c r="D2038" s="191" t="s">
        <v>1714</v>
      </c>
      <c r="E2038" s="191">
        <v>41022</v>
      </c>
      <c r="F2038" s="192" t="s">
        <v>1329</v>
      </c>
      <c r="G2038" s="490" t="s">
        <v>1010</v>
      </c>
      <c r="H2038" s="7" t="s">
        <v>1700</v>
      </c>
      <c r="I2038" s="252">
        <v>250</v>
      </c>
      <c r="J2038" s="252">
        <v>23028</v>
      </c>
      <c r="K2038" s="38">
        <f t="shared" si="119"/>
        <v>5757000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>154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customHeight="1">
      <c r="A2039" s="204" t="str">
        <f>IF(B2039&lt;&gt;"",IF(AND(B2039&gt;=_TM1,B2039&lt;=_TM2,OR(TH!L2039="1111",TH!M2039="1111")),TH!D2039,""),"")</f>
        <v/>
      </c>
      <c r="B2039" s="36">
        <f t="shared" si="118"/>
        <v>4</v>
      </c>
      <c r="C2039" s="37">
        <f t="shared" si="120"/>
        <v>41022</v>
      </c>
      <c r="D2039" s="191" t="s">
        <v>1714</v>
      </c>
      <c r="E2039" s="191">
        <v>41022</v>
      </c>
      <c r="F2039" s="192" t="s">
        <v>1445</v>
      </c>
      <c r="G2039" s="490" t="s">
        <v>1010</v>
      </c>
      <c r="H2039" s="7" t="s">
        <v>1700</v>
      </c>
      <c r="I2039" s="252">
        <v>349</v>
      </c>
      <c r="J2039" s="252">
        <v>23370</v>
      </c>
      <c r="K2039" s="38">
        <f t="shared" si="119"/>
        <v>8156130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>154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customHeight="1">
      <c r="A2040" s="204" t="str">
        <f>IF(B2040&lt;&gt;"",IF(AND(B2040&gt;=_TM1,B2040&lt;=_TM2,OR(TH!L2040="1111",TH!M2040="1111")),TH!D2040,""),"")</f>
        <v/>
      </c>
      <c r="B2040" s="36">
        <f t="shared" si="118"/>
        <v>4</v>
      </c>
      <c r="C2040" s="37">
        <f t="shared" si="120"/>
        <v>41022</v>
      </c>
      <c r="D2040" s="191" t="s">
        <v>1714</v>
      </c>
      <c r="E2040" s="191">
        <v>41022</v>
      </c>
      <c r="F2040" s="192" t="s">
        <v>1413</v>
      </c>
      <c r="G2040" s="490" t="s">
        <v>1010</v>
      </c>
      <c r="H2040" s="7" t="s">
        <v>1700</v>
      </c>
      <c r="I2040" s="252">
        <v>366</v>
      </c>
      <c r="J2040" s="252">
        <v>17722</v>
      </c>
      <c r="K2040" s="38">
        <f t="shared" si="119"/>
        <v>6486252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>154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customHeight="1">
      <c r="A2041" s="204" t="str">
        <f>IF(B2041&lt;&gt;"",IF(AND(B2041&gt;=_TM1,B2041&lt;=_TM2,OR(TH!L2041="1111",TH!M2041="1111")),TH!D2041,""),"")</f>
        <v/>
      </c>
      <c r="B2041" s="36">
        <f t="shared" si="118"/>
        <v>4</v>
      </c>
      <c r="C2041" s="37">
        <f t="shared" si="120"/>
        <v>41022</v>
      </c>
      <c r="D2041" s="191" t="s">
        <v>1714</v>
      </c>
      <c r="E2041" s="191">
        <v>41022</v>
      </c>
      <c r="F2041" s="192" t="s">
        <v>791</v>
      </c>
      <c r="G2041" s="490" t="s">
        <v>1010</v>
      </c>
      <c r="H2041" s="7" t="s">
        <v>1700</v>
      </c>
      <c r="I2041" s="252">
        <v>290</v>
      </c>
      <c r="J2041" s="252">
        <v>10448.9</v>
      </c>
      <c r="K2041" s="38">
        <f t="shared" si="119"/>
        <v>3030181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>154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customHeight="1">
      <c r="A2042" s="204" t="str">
        <f>IF(B2042&lt;&gt;"",IF(AND(B2042&gt;=_TM1,B2042&lt;=_TM2,OR(TH!L2042="1111",TH!M2042="1111")),TH!D2042,""),"")</f>
        <v/>
      </c>
      <c r="B2042" s="36">
        <f t="shared" si="118"/>
        <v>4</v>
      </c>
      <c r="C2042" s="37">
        <f t="shared" si="120"/>
        <v>41022</v>
      </c>
      <c r="D2042" s="191" t="s">
        <v>1714</v>
      </c>
      <c r="E2042" s="191">
        <v>41022</v>
      </c>
      <c r="F2042" s="192" t="s">
        <v>1371</v>
      </c>
      <c r="G2042" s="490" t="s">
        <v>1010</v>
      </c>
      <c r="H2042" s="7" t="s">
        <v>1700</v>
      </c>
      <c r="I2042" s="252">
        <v>465</v>
      </c>
      <c r="J2042" s="252">
        <v>19937.945495836488</v>
      </c>
      <c r="K2042" s="38">
        <f t="shared" si="119"/>
        <v>9271145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>154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customHeight="1">
      <c r="A2043" s="204" t="str">
        <f>IF(B2043&lt;&gt;"",IF(AND(B2043&gt;=_TM1,B2043&lt;=_TM2,OR(TH!L2043="1111",TH!M2043="1111")),TH!D2043,""),"")</f>
        <v/>
      </c>
      <c r="B2043" s="36">
        <f t="shared" si="118"/>
        <v>4</v>
      </c>
      <c r="C2043" s="37">
        <f t="shared" si="120"/>
        <v>41025</v>
      </c>
      <c r="D2043" s="191" t="s">
        <v>1715</v>
      </c>
      <c r="E2043" s="191">
        <v>41025</v>
      </c>
      <c r="F2043" s="192" t="s">
        <v>1330</v>
      </c>
      <c r="G2043" s="490" t="s">
        <v>1568</v>
      </c>
      <c r="H2043" s="7" t="s">
        <v>1700</v>
      </c>
      <c r="I2043" s="252">
        <v>250</v>
      </c>
      <c r="J2043" s="252">
        <v>18673</v>
      </c>
      <c r="K2043" s="38">
        <f t="shared" si="119"/>
        <v>4668250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>154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customHeight="1">
      <c r="A2044" s="204" t="str">
        <f>IF(B2044&lt;&gt;"",IF(AND(B2044&gt;=_TM1,B2044&lt;=_TM2,OR(TH!L2044="1111",TH!M2044="1111")),TH!D2044,""),"")</f>
        <v/>
      </c>
      <c r="B2044" s="36">
        <f t="shared" si="118"/>
        <v>4</v>
      </c>
      <c r="C2044" s="37">
        <f t="shared" si="120"/>
        <v>41025</v>
      </c>
      <c r="D2044" s="191" t="s">
        <v>1715</v>
      </c>
      <c r="E2044" s="191">
        <v>41025</v>
      </c>
      <c r="F2044" s="192" t="s">
        <v>736</v>
      </c>
      <c r="G2044" s="490" t="s">
        <v>1568</v>
      </c>
      <c r="H2044" s="7" t="s">
        <v>1700</v>
      </c>
      <c r="I2044" s="252">
        <v>455</v>
      </c>
      <c r="J2044" s="252">
        <v>9420</v>
      </c>
      <c r="K2044" s="38">
        <f t="shared" si="119"/>
        <v>4286100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154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customHeight="1">
      <c r="A2045" s="204" t="str">
        <f>IF(B2045&lt;&gt;"",IF(AND(B2045&gt;=_TM1,B2045&lt;=_TM2,OR(TH!L2045="1111",TH!M2045="1111")),TH!D2045,""),"")</f>
        <v/>
      </c>
      <c r="B2045" s="36">
        <f t="shared" si="118"/>
        <v>4</v>
      </c>
      <c r="C2045" s="37">
        <f t="shared" si="120"/>
        <v>41025</v>
      </c>
      <c r="D2045" s="191" t="s">
        <v>1715</v>
      </c>
      <c r="E2045" s="191">
        <v>41025</v>
      </c>
      <c r="F2045" s="192" t="s">
        <v>736</v>
      </c>
      <c r="G2045" s="490" t="s">
        <v>1568</v>
      </c>
      <c r="H2045" s="7" t="s">
        <v>1700</v>
      </c>
      <c r="I2045" s="252">
        <v>185</v>
      </c>
      <c r="J2045" s="252">
        <v>9420</v>
      </c>
      <c r="K2045" s="38">
        <f t="shared" si="119"/>
        <v>1742700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>154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customHeight="1">
      <c r="A2046" s="204" t="str">
        <f>IF(B2046&lt;&gt;"",IF(AND(B2046&gt;=_TM1,B2046&lt;=_TM2,OR(TH!L2046="1111",TH!M2046="1111")),TH!D2046,""),"")</f>
        <v/>
      </c>
      <c r="B2046" s="36">
        <f t="shared" si="118"/>
        <v>4</v>
      </c>
      <c r="C2046" s="37">
        <f t="shared" si="120"/>
        <v>41025</v>
      </c>
      <c r="D2046" s="191" t="s">
        <v>1715</v>
      </c>
      <c r="E2046" s="191">
        <v>41025</v>
      </c>
      <c r="F2046" s="192" t="s">
        <v>1299</v>
      </c>
      <c r="G2046" s="490" t="s">
        <v>1568</v>
      </c>
      <c r="H2046" s="7" t="s">
        <v>1700</v>
      </c>
      <c r="I2046" s="252">
        <v>879</v>
      </c>
      <c r="J2046" s="252">
        <v>10775</v>
      </c>
      <c r="K2046" s="38">
        <f t="shared" si="119"/>
        <v>9471225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>154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customHeight="1">
      <c r="A2047" s="204" t="str">
        <f>IF(B2047&lt;&gt;"",IF(AND(B2047&gt;=_TM1,B2047&lt;=_TM2,OR(TH!L2047="1111",TH!M2047="1111")),TH!D2047,""),"")</f>
        <v/>
      </c>
      <c r="B2047" s="36">
        <f t="shared" si="118"/>
        <v>4</v>
      </c>
      <c r="C2047" s="37">
        <f t="shared" si="120"/>
        <v>41025</v>
      </c>
      <c r="D2047" s="191" t="s">
        <v>1715</v>
      </c>
      <c r="E2047" s="191">
        <v>41025</v>
      </c>
      <c r="F2047" s="192" t="s">
        <v>1299</v>
      </c>
      <c r="G2047" s="490" t="s">
        <v>1568</v>
      </c>
      <c r="H2047" s="7" t="s">
        <v>1700</v>
      </c>
      <c r="I2047" s="252">
        <v>506</v>
      </c>
      <c r="J2047" s="252">
        <v>10775</v>
      </c>
      <c r="K2047" s="38">
        <f t="shared" si="119"/>
        <v>5452150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>154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customHeight="1">
      <c r="A2048" s="204" t="str">
        <f>IF(B2048&lt;&gt;"",IF(AND(B2048&gt;=_TM1,B2048&lt;=_TM2,OR(TH!L2048="1111",TH!M2048="1111")),TH!D2048,""),"")</f>
        <v/>
      </c>
      <c r="B2048" s="36">
        <f t="shared" si="118"/>
        <v>4</v>
      </c>
      <c r="C2048" s="37">
        <f t="shared" si="120"/>
        <v>41025</v>
      </c>
      <c r="D2048" s="191" t="s">
        <v>1715</v>
      </c>
      <c r="E2048" s="191">
        <v>41025</v>
      </c>
      <c r="F2048" s="192" t="s">
        <v>1368</v>
      </c>
      <c r="G2048" s="490" t="s">
        <v>1568</v>
      </c>
      <c r="H2048" s="7" t="s">
        <v>1700</v>
      </c>
      <c r="I2048" s="252">
        <v>803</v>
      </c>
      <c r="J2048" s="252">
        <v>11373.920634920634</v>
      </c>
      <c r="K2048" s="38">
        <f t="shared" si="119"/>
        <v>9133258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>154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customHeight="1">
      <c r="A2049" s="204" t="str">
        <f>IF(B2049&lt;&gt;"",IF(AND(B2049&gt;=_TM1,B2049&lt;=_TM2,OR(TH!L2049="1111",TH!M2049="1111")),TH!D2049,""),"")</f>
        <v/>
      </c>
      <c r="B2049" s="36">
        <f t="shared" si="118"/>
        <v>4</v>
      </c>
      <c r="C2049" s="37">
        <f t="shared" si="120"/>
        <v>41025</v>
      </c>
      <c r="D2049" s="191" t="s">
        <v>1715</v>
      </c>
      <c r="E2049" s="191">
        <v>41025</v>
      </c>
      <c r="F2049" s="192" t="s">
        <v>1305</v>
      </c>
      <c r="G2049" s="490" t="s">
        <v>1568</v>
      </c>
      <c r="H2049" s="7" t="s">
        <v>1700</v>
      </c>
      <c r="I2049" s="252">
        <v>860</v>
      </c>
      <c r="J2049" s="252">
        <v>15041.901109989909</v>
      </c>
      <c r="K2049" s="38">
        <f t="shared" si="119"/>
        <v>12936035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>154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customHeight="1">
      <c r="A2050" s="204" t="str">
        <f>IF(B2050&lt;&gt;"",IF(AND(B2050&gt;=_TM1,B2050&lt;=_TM2,OR(TH!L2050="1111",TH!M2050="1111")),TH!D2050,""),"")</f>
        <v/>
      </c>
      <c r="B2050" s="36">
        <f t="shared" si="118"/>
        <v>4</v>
      </c>
      <c r="C2050" s="37">
        <f t="shared" si="120"/>
        <v>41025</v>
      </c>
      <c r="D2050" s="191" t="s">
        <v>1715</v>
      </c>
      <c r="E2050" s="191">
        <v>41025</v>
      </c>
      <c r="F2050" s="192" t="s">
        <v>1448</v>
      </c>
      <c r="G2050" s="490" t="s">
        <v>1568</v>
      </c>
      <c r="H2050" s="7" t="s">
        <v>1700</v>
      </c>
      <c r="I2050" s="252">
        <v>356</v>
      </c>
      <c r="J2050" s="252">
        <v>10374</v>
      </c>
      <c r="K2050" s="38">
        <f t="shared" si="119"/>
        <v>3693144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>154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customHeight="1">
      <c r="A2051" s="204" t="str">
        <f>IF(B2051&lt;&gt;"",IF(AND(B2051&gt;=_TM1,B2051&lt;=_TM2,OR(TH!L2051="1111",TH!M2051="1111")),TH!D2051,""),"")</f>
        <v/>
      </c>
      <c r="B2051" s="36">
        <f t="shared" ref="B2051:B2114" si="121">IF(C2051&lt;&gt;"",MONTH(C2051),"")</f>
        <v>4</v>
      </c>
      <c r="C2051" s="37">
        <f t="shared" si="120"/>
        <v>41025</v>
      </c>
      <c r="D2051" s="191" t="s">
        <v>1715</v>
      </c>
      <c r="E2051" s="191">
        <v>41025</v>
      </c>
      <c r="F2051" s="192" t="s">
        <v>1299</v>
      </c>
      <c r="G2051" s="490" t="s">
        <v>1568</v>
      </c>
      <c r="H2051" s="7" t="s">
        <v>1700</v>
      </c>
      <c r="I2051" s="252">
        <v>350</v>
      </c>
      <c r="J2051" s="252">
        <v>10775</v>
      </c>
      <c r="K2051" s="38">
        <f t="shared" si="119"/>
        <v>3771250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>154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customHeight="1">
      <c r="A2052" s="204" t="str">
        <f>IF(B2052&lt;&gt;"",IF(AND(B2052&gt;=_TM1,B2052&lt;=_TM2,OR(TH!L2052="1111",TH!M2052="1111")),TH!D2052,""),"")</f>
        <v/>
      </c>
      <c r="B2052" s="36">
        <f t="shared" si="121"/>
        <v>4</v>
      </c>
      <c r="C2052" s="37">
        <f t="shared" si="120"/>
        <v>41025</v>
      </c>
      <c r="D2052" s="191" t="s">
        <v>1715</v>
      </c>
      <c r="E2052" s="191">
        <v>41025</v>
      </c>
      <c r="F2052" s="192" t="s">
        <v>1368</v>
      </c>
      <c r="G2052" s="490" t="s">
        <v>1568</v>
      </c>
      <c r="H2052" s="7" t="s">
        <v>1700</v>
      </c>
      <c r="I2052" s="252">
        <v>457</v>
      </c>
      <c r="J2052" s="252">
        <v>11373.920634920634</v>
      </c>
      <c r="K2052" s="38">
        <f t="shared" si="119"/>
        <v>5197882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>154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customHeight="1">
      <c r="A2053" s="204" t="str">
        <f>IF(B2053&lt;&gt;"",IF(AND(B2053&gt;=_TM1,B2053&lt;=_TM2,OR(TH!L2053="1111",TH!M2053="1111")),TH!D2053,""),"")</f>
        <v/>
      </c>
      <c r="B2053" s="36">
        <f t="shared" si="121"/>
        <v>4</v>
      </c>
      <c r="C2053" s="37">
        <f t="shared" si="120"/>
        <v>41025</v>
      </c>
      <c r="D2053" s="191" t="s">
        <v>1715</v>
      </c>
      <c r="E2053" s="184">
        <v>41025</v>
      </c>
      <c r="F2053" s="189" t="s">
        <v>1305</v>
      </c>
      <c r="G2053" s="617" t="s">
        <v>1568</v>
      </c>
      <c r="H2053" s="7" t="s">
        <v>1700</v>
      </c>
      <c r="I2053" s="252">
        <v>972</v>
      </c>
      <c r="J2053" s="252">
        <v>15041.901109989909</v>
      </c>
      <c r="K2053" s="38">
        <f t="shared" si="119"/>
        <v>14620728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>154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customHeight="1">
      <c r="A2054" s="204" t="str">
        <f>IF(B2054&lt;&gt;"",IF(AND(B2054&gt;=_TM1,B2054&lt;=_TM2,OR(TH!L2054="1111",TH!M2054="1111")),TH!D2054,""),"")</f>
        <v/>
      </c>
      <c r="B2054" s="36">
        <f t="shared" si="121"/>
        <v>4</v>
      </c>
      <c r="C2054" s="37">
        <f t="shared" si="120"/>
        <v>41028</v>
      </c>
      <c r="D2054" s="191" t="s">
        <v>1716</v>
      </c>
      <c r="E2054" s="184">
        <v>41028</v>
      </c>
      <c r="F2054" s="189" t="s">
        <v>1272</v>
      </c>
      <c r="G2054" s="617" t="s">
        <v>980</v>
      </c>
      <c r="H2054" s="7" t="s">
        <v>1700</v>
      </c>
      <c r="I2054" s="252">
        <v>200</v>
      </c>
      <c r="J2054" s="252">
        <v>17067</v>
      </c>
      <c r="K2054" s="38">
        <f t="shared" si="119"/>
        <v>3413400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>154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customHeight="1">
      <c r="A2055" s="204" t="str">
        <f>IF(B2055&lt;&gt;"",IF(AND(B2055&gt;=_TM1,B2055&lt;=_TM2,OR(TH!L2055="1111",TH!M2055="1111")),TH!D2055,""),"")</f>
        <v/>
      </c>
      <c r="B2055" s="36">
        <f t="shared" si="121"/>
        <v>4</v>
      </c>
      <c r="C2055" s="37">
        <f t="shared" si="120"/>
        <v>41028</v>
      </c>
      <c r="D2055" s="191" t="s">
        <v>1716</v>
      </c>
      <c r="E2055" s="184">
        <v>41028</v>
      </c>
      <c r="F2055" s="189" t="s">
        <v>1288</v>
      </c>
      <c r="G2055" s="617" t="s">
        <v>980</v>
      </c>
      <c r="H2055" s="7" t="s">
        <v>1700</v>
      </c>
      <c r="I2055" s="252">
        <v>100</v>
      </c>
      <c r="J2055" s="252">
        <v>11995.444444444445</v>
      </c>
      <c r="K2055" s="38">
        <f t="shared" si="119"/>
        <v>1199544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>154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customHeight="1">
      <c r="A2056" s="204" t="str">
        <f>IF(B2056&lt;&gt;"",IF(AND(B2056&gt;=_TM1,B2056&lt;=_TM2,OR(TH!L2056="1111",TH!M2056="1111")),TH!D2056,""),"")</f>
        <v/>
      </c>
      <c r="B2056" s="36">
        <f t="shared" si="121"/>
        <v>4</v>
      </c>
      <c r="C2056" s="37">
        <f t="shared" si="120"/>
        <v>41029</v>
      </c>
      <c r="D2056" s="191" t="s">
        <v>1717</v>
      </c>
      <c r="E2056" s="184">
        <v>41029</v>
      </c>
      <c r="F2056" s="189" t="s">
        <v>1443</v>
      </c>
      <c r="G2056" s="617" t="s">
        <v>982</v>
      </c>
      <c r="H2056" s="7" t="s">
        <v>1700</v>
      </c>
      <c r="I2056" s="252">
        <v>320</v>
      </c>
      <c r="J2056" s="252">
        <v>13042</v>
      </c>
      <c r="K2056" s="38">
        <f t="shared" si="119"/>
        <v>4173440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>154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customHeight="1">
      <c r="A2057" s="204" t="str">
        <f>IF(B2057&lt;&gt;"",IF(AND(B2057&gt;=_TM1,B2057&lt;=_TM2,OR(TH!L2057="1111",TH!M2057="1111")),TH!D2057,""),"")</f>
        <v/>
      </c>
      <c r="B2057" s="36">
        <f t="shared" si="121"/>
        <v>5</v>
      </c>
      <c r="C2057" s="37">
        <f t="shared" si="120"/>
        <v>41030</v>
      </c>
      <c r="D2057" s="191" t="s">
        <v>1718</v>
      </c>
      <c r="E2057" s="191">
        <v>41030</v>
      </c>
      <c r="F2057" s="192" t="s">
        <v>767</v>
      </c>
      <c r="G2057" s="490" t="s">
        <v>983</v>
      </c>
      <c r="H2057" s="7" t="s">
        <v>1700</v>
      </c>
      <c r="I2057" s="252">
        <v>10</v>
      </c>
      <c r="J2057" s="252">
        <v>27405</v>
      </c>
      <c r="K2057" s="38">
        <f t="shared" si="119"/>
        <v>274050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>154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customHeight="1">
      <c r="A2058" s="204" t="str">
        <f>IF(B2058&lt;&gt;"",IF(AND(B2058&gt;=_TM1,B2058&lt;=_TM2,OR(TH!L2058="1111",TH!M2058="1111")),TH!D2058,""),"")</f>
        <v/>
      </c>
      <c r="B2058" s="36">
        <f t="shared" si="121"/>
        <v>5</v>
      </c>
      <c r="C2058" s="37">
        <f t="shared" si="120"/>
        <v>41030</v>
      </c>
      <c r="D2058" s="191" t="s">
        <v>1718</v>
      </c>
      <c r="E2058" s="191">
        <v>41030</v>
      </c>
      <c r="F2058" s="192" t="s">
        <v>1384</v>
      </c>
      <c r="G2058" s="490" t="s">
        <v>983</v>
      </c>
      <c r="H2058" s="7" t="s">
        <v>1700</v>
      </c>
      <c r="I2058" s="252">
        <v>190</v>
      </c>
      <c r="J2058" s="252">
        <v>11480</v>
      </c>
      <c r="K2058" s="38">
        <f t="shared" si="119"/>
        <v>2181200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>154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customHeight="1">
      <c r="A2059" s="204" t="str">
        <f>IF(B2059&lt;&gt;"",IF(AND(B2059&gt;=_TM1,B2059&lt;=_TM2,OR(TH!L2059="1111",TH!M2059="1111")),TH!D2059,""),"")</f>
        <v/>
      </c>
      <c r="B2059" s="36">
        <f t="shared" si="121"/>
        <v>5</v>
      </c>
      <c r="C2059" s="37">
        <f t="shared" si="120"/>
        <v>41030</v>
      </c>
      <c r="D2059" s="191" t="s">
        <v>1718</v>
      </c>
      <c r="E2059" s="191">
        <v>41030</v>
      </c>
      <c r="F2059" s="192" t="s">
        <v>1411</v>
      </c>
      <c r="G2059" s="490" t="s">
        <v>984</v>
      </c>
      <c r="H2059" s="7" t="s">
        <v>1700</v>
      </c>
      <c r="I2059" s="252">
        <v>300</v>
      </c>
      <c r="J2059" s="252">
        <v>13112</v>
      </c>
      <c r="K2059" s="38">
        <f t="shared" si="119"/>
        <v>3933600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>154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customHeight="1">
      <c r="A2060" s="204" t="str">
        <f>IF(B2060&lt;&gt;"",IF(AND(B2060&gt;=_TM1,B2060&lt;=_TM2,OR(TH!L2060="1111",TH!M2060="1111")),TH!D2060,""),"")</f>
        <v/>
      </c>
      <c r="B2060" s="36">
        <f t="shared" si="121"/>
        <v>5</v>
      </c>
      <c r="C2060" s="37">
        <f t="shared" si="120"/>
        <v>41030</v>
      </c>
      <c r="D2060" s="191" t="s">
        <v>1718</v>
      </c>
      <c r="E2060" s="191">
        <v>41030</v>
      </c>
      <c r="F2060" s="192" t="s">
        <v>758</v>
      </c>
      <c r="G2060" s="490" t="s">
        <v>984</v>
      </c>
      <c r="H2060" s="7" t="s">
        <v>1700</v>
      </c>
      <c r="I2060" s="252">
        <v>145</v>
      </c>
      <c r="J2060" s="252">
        <v>12066</v>
      </c>
      <c r="K2060" s="38">
        <f t="shared" si="119"/>
        <v>1749570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>154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customHeight="1">
      <c r="A2061" s="204" t="str">
        <f>IF(B2061&lt;&gt;"",IF(AND(B2061&gt;=_TM1,B2061&lt;=_TM2,OR(TH!L2061="1111",TH!M2061="1111")),TH!D2061,""),"")</f>
        <v/>
      </c>
      <c r="B2061" s="36">
        <f t="shared" si="121"/>
        <v>5</v>
      </c>
      <c r="C2061" s="37">
        <f t="shared" si="120"/>
        <v>41030</v>
      </c>
      <c r="D2061" s="191" t="s">
        <v>1718</v>
      </c>
      <c r="E2061" s="191">
        <v>41030</v>
      </c>
      <c r="F2061" s="192" t="s">
        <v>1448</v>
      </c>
      <c r="G2061" s="490" t="s">
        <v>984</v>
      </c>
      <c r="H2061" s="7" t="s">
        <v>1700</v>
      </c>
      <c r="I2061" s="252">
        <v>254</v>
      </c>
      <c r="J2061" s="252">
        <v>10374</v>
      </c>
      <c r="K2061" s="38">
        <f t="shared" si="119"/>
        <v>2634996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>154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customHeight="1">
      <c r="A2062" s="204" t="str">
        <f>IF(B2062&lt;&gt;"",IF(AND(B2062&gt;=_TM1,B2062&lt;=_TM2,OR(TH!L2062="1111",TH!M2062="1111")),TH!D2062,""),"")</f>
        <v/>
      </c>
      <c r="B2062" s="36">
        <f t="shared" si="121"/>
        <v>5</v>
      </c>
      <c r="C2062" s="37">
        <f t="shared" si="120"/>
        <v>41030</v>
      </c>
      <c r="D2062" s="191" t="s">
        <v>1718</v>
      </c>
      <c r="E2062" s="191">
        <v>41030</v>
      </c>
      <c r="F2062" s="192" t="s">
        <v>1317</v>
      </c>
      <c r="G2062" s="490" t="s">
        <v>984</v>
      </c>
      <c r="H2062" s="7" t="s">
        <v>1700</v>
      </c>
      <c r="I2062" s="252">
        <v>163</v>
      </c>
      <c r="J2062" s="252">
        <v>11817</v>
      </c>
      <c r="K2062" s="38">
        <f t="shared" si="119"/>
        <v>1926171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>154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customHeight="1">
      <c r="A2063" s="204" t="str">
        <f>IF(B2063&lt;&gt;"",IF(AND(B2063&gt;=_TM1,B2063&lt;=_TM2,OR(TH!L2063="1111",TH!M2063="1111")),TH!D2063,""),"")</f>
        <v/>
      </c>
      <c r="B2063" s="36">
        <f t="shared" si="121"/>
        <v>5</v>
      </c>
      <c r="C2063" s="37">
        <f t="shared" si="120"/>
        <v>41030</v>
      </c>
      <c r="D2063" s="191" t="s">
        <v>1718</v>
      </c>
      <c r="E2063" s="191">
        <v>41030</v>
      </c>
      <c r="F2063" s="192" t="s">
        <v>1288</v>
      </c>
      <c r="G2063" s="490" t="s">
        <v>984</v>
      </c>
      <c r="H2063" s="7" t="s">
        <v>1700</v>
      </c>
      <c r="I2063" s="252">
        <v>80</v>
      </c>
      <c r="J2063" s="252">
        <v>11995.444444444445</v>
      </c>
      <c r="K2063" s="38">
        <f t="shared" si="119"/>
        <v>959636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>154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customHeight="1">
      <c r="A2064" s="204" t="str">
        <f>IF(B2064&lt;&gt;"",IF(AND(B2064&gt;=_TM1,B2064&lt;=_TM2,OR(TH!L2064="1111",TH!M2064="1111")),TH!D2064,""),"")</f>
        <v/>
      </c>
      <c r="B2064" s="36">
        <f t="shared" si="121"/>
        <v>5</v>
      </c>
      <c r="C2064" s="37">
        <f t="shared" si="120"/>
        <v>41033</v>
      </c>
      <c r="D2064" s="191" t="s">
        <v>1719</v>
      </c>
      <c r="E2064" s="191">
        <v>41033</v>
      </c>
      <c r="F2064" s="192" t="s">
        <v>1423</v>
      </c>
      <c r="G2064" s="490" t="s">
        <v>985</v>
      </c>
      <c r="H2064" s="7" t="s">
        <v>1700</v>
      </c>
      <c r="I2064" s="252">
        <v>150</v>
      </c>
      <c r="J2064" s="252">
        <v>6912</v>
      </c>
      <c r="K2064" s="38">
        <f t="shared" ref="K2064:K2127" si="122">ROUND(I2064*J2064,0)</f>
        <v>1036800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>154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customHeight="1">
      <c r="A2065" s="204" t="str">
        <f>IF(B2065&lt;&gt;"",IF(AND(B2065&gt;=_TM1,B2065&lt;=_TM2,OR(TH!L2065="1111",TH!M2065="1111")),TH!D2065,""),"")</f>
        <v/>
      </c>
      <c r="B2065" s="36">
        <f t="shared" si="121"/>
        <v>5</v>
      </c>
      <c r="C2065" s="37">
        <f t="shared" si="120"/>
        <v>41033</v>
      </c>
      <c r="D2065" s="191" t="s">
        <v>1719</v>
      </c>
      <c r="E2065" s="191">
        <v>41033</v>
      </c>
      <c r="F2065" s="192" t="s">
        <v>1385</v>
      </c>
      <c r="G2065" s="490" t="s">
        <v>985</v>
      </c>
      <c r="H2065" s="7" t="s">
        <v>1700</v>
      </c>
      <c r="I2065" s="252">
        <v>3</v>
      </c>
      <c r="J2065" s="252">
        <v>9026.3333333333339</v>
      </c>
      <c r="K2065" s="38">
        <f t="shared" si="122"/>
        <v>27079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>154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customHeight="1">
      <c r="A2066" s="204" t="str">
        <f>IF(B2066&lt;&gt;"",IF(AND(B2066&gt;=_TM1,B2066&lt;=_TM2,OR(TH!L2066="1111",TH!M2066="1111")),TH!D2066,""),"")</f>
        <v/>
      </c>
      <c r="B2066" s="36">
        <f t="shared" si="121"/>
        <v>5</v>
      </c>
      <c r="C2066" s="37">
        <f t="shared" si="120"/>
        <v>41033</v>
      </c>
      <c r="D2066" s="191" t="s">
        <v>1719</v>
      </c>
      <c r="E2066" s="191">
        <v>41033</v>
      </c>
      <c r="F2066" s="192" t="s">
        <v>767</v>
      </c>
      <c r="G2066" s="490" t="s">
        <v>985</v>
      </c>
      <c r="H2066" s="7" t="s">
        <v>1700</v>
      </c>
      <c r="I2066" s="252">
        <v>10</v>
      </c>
      <c r="J2066" s="252">
        <v>27405</v>
      </c>
      <c r="K2066" s="38">
        <f t="shared" si="122"/>
        <v>274050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154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customHeight="1">
      <c r="A2067" s="204" t="str">
        <f>IF(B2067&lt;&gt;"",IF(AND(B2067&gt;=_TM1,B2067&lt;=_TM2,OR(TH!L2067="1111",TH!M2067="1111")),TH!D2067,""),"")</f>
        <v/>
      </c>
      <c r="B2067" s="36">
        <f t="shared" si="121"/>
        <v>5</v>
      </c>
      <c r="C2067" s="37">
        <f t="shared" si="120"/>
        <v>41034</v>
      </c>
      <c r="D2067" s="191" t="s">
        <v>1720</v>
      </c>
      <c r="E2067" s="191">
        <v>41034</v>
      </c>
      <c r="F2067" s="192" t="s">
        <v>1425</v>
      </c>
      <c r="G2067" s="490" t="s">
        <v>988</v>
      </c>
      <c r="H2067" s="7" t="s">
        <v>1700</v>
      </c>
      <c r="I2067" s="252">
        <v>274</v>
      </c>
      <c r="J2067" s="252">
        <v>12985</v>
      </c>
      <c r="K2067" s="38">
        <f t="shared" si="122"/>
        <v>3557890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>154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customHeight="1">
      <c r="A2068" s="204" t="str">
        <f>IF(B2068&lt;&gt;"",IF(AND(B2068&gt;=_TM1,B2068&lt;=_TM2,OR(TH!L2068="1111",TH!M2068="1111")),TH!D2068,""),"")</f>
        <v/>
      </c>
      <c r="B2068" s="36">
        <f t="shared" si="121"/>
        <v>5</v>
      </c>
      <c r="C2068" s="37">
        <f t="shared" si="120"/>
        <v>41034</v>
      </c>
      <c r="D2068" s="191" t="s">
        <v>1720</v>
      </c>
      <c r="E2068" s="191">
        <v>41034</v>
      </c>
      <c r="F2068" s="192" t="s">
        <v>1399</v>
      </c>
      <c r="G2068" s="490" t="s">
        <v>1569</v>
      </c>
      <c r="H2068" s="7" t="s">
        <v>1700</v>
      </c>
      <c r="I2068" s="252">
        <v>250</v>
      </c>
      <c r="J2068" s="252">
        <v>8465</v>
      </c>
      <c r="K2068" s="38">
        <f t="shared" si="122"/>
        <v>2116250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>154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ht="15.75" customHeight="1">
      <c r="A2069" s="204" t="str">
        <f>IF(B2069&lt;&gt;"",IF(AND(B2069&gt;=_TM1,B2069&lt;=_TM2,OR(TH!L2069="1111",TH!M2069="1111")),TH!D2069,""),"")</f>
        <v/>
      </c>
      <c r="B2069" s="36">
        <f t="shared" si="121"/>
        <v>5</v>
      </c>
      <c r="C2069" s="37">
        <f t="shared" si="120"/>
        <v>41036</v>
      </c>
      <c r="D2069" s="191" t="s">
        <v>1721</v>
      </c>
      <c r="E2069" s="191">
        <v>41036</v>
      </c>
      <c r="F2069" s="192" t="s">
        <v>1419</v>
      </c>
      <c r="G2069" s="490" t="s">
        <v>990</v>
      </c>
      <c r="H2069" s="7" t="s">
        <v>1700</v>
      </c>
      <c r="I2069" s="252">
        <v>100</v>
      </c>
      <c r="J2069" s="252">
        <v>14562</v>
      </c>
      <c r="K2069" s="38">
        <f t="shared" si="122"/>
        <v>1456200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>154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B2069" s="211"/>
    </row>
    <row r="2070" spans="1:28" ht="15.75" customHeight="1">
      <c r="A2070" s="204" t="str">
        <f>IF(B2070&lt;&gt;"",IF(AND(B2070&gt;=_TM1,B2070&lt;=_TM2,OR(TH!L2070="1111",TH!M2070="1111")),TH!D2070,""),"")</f>
        <v/>
      </c>
      <c r="B2070" s="36">
        <f t="shared" si="121"/>
        <v>5</v>
      </c>
      <c r="C2070" s="37">
        <f t="shared" si="120"/>
        <v>41038</v>
      </c>
      <c r="D2070" s="191" t="s">
        <v>1722</v>
      </c>
      <c r="E2070" s="191">
        <v>41038</v>
      </c>
      <c r="F2070" s="192" t="s">
        <v>1427</v>
      </c>
      <c r="G2070" s="490" t="s">
        <v>991</v>
      </c>
      <c r="H2070" s="7" t="s">
        <v>1700</v>
      </c>
      <c r="I2070" s="252">
        <v>500</v>
      </c>
      <c r="J2070" s="252">
        <v>10752</v>
      </c>
      <c r="K2070" s="38">
        <f t="shared" si="122"/>
        <v>5376000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>154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B2070" s="211"/>
    </row>
    <row r="2071" spans="1:28" ht="15.75" customHeight="1">
      <c r="A2071" s="204" t="str">
        <f>IF(B2071&lt;&gt;"",IF(AND(B2071&gt;=_TM1,B2071&lt;=_TM2,OR(TH!L2071="1111",TH!M2071="1111")),TH!D2071,""),"")</f>
        <v/>
      </c>
      <c r="B2071" s="36">
        <f t="shared" si="121"/>
        <v>5</v>
      </c>
      <c r="C2071" s="37">
        <f t="shared" si="120"/>
        <v>41038</v>
      </c>
      <c r="D2071" s="191" t="s">
        <v>1722</v>
      </c>
      <c r="E2071" s="191">
        <v>41038</v>
      </c>
      <c r="F2071" s="192" t="s">
        <v>1317</v>
      </c>
      <c r="G2071" s="490" t="s">
        <v>993</v>
      </c>
      <c r="H2071" s="7" t="s">
        <v>1700</v>
      </c>
      <c r="I2071" s="252">
        <v>17</v>
      </c>
      <c r="J2071" s="252">
        <v>11817</v>
      </c>
      <c r="K2071" s="38">
        <f t="shared" si="122"/>
        <v>200889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>154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customHeight="1">
      <c r="A2072" s="204" t="str">
        <f>IF(B2072&lt;&gt;"",IF(AND(B2072&gt;=_TM1,B2072&lt;=_TM2,OR(TH!L2072="1111",TH!M2072="1111")),TH!D2072,""),"")</f>
        <v/>
      </c>
      <c r="B2072" s="36">
        <f t="shared" si="121"/>
        <v>5</v>
      </c>
      <c r="C2072" s="37">
        <f t="shared" ref="C2072:C2135" si="123">E2072</f>
        <v>41038</v>
      </c>
      <c r="D2072" s="191" t="s">
        <v>1722</v>
      </c>
      <c r="E2072" s="191">
        <v>41038</v>
      </c>
      <c r="F2072" s="192" t="s">
        <v>734</v>
      </c>
      <c r="G2072" s="490" t="s">
        <v>993</v>
      </c>
      <c r="H2072" s="7" t="s">
        <v>1700</v>
      </c>
      <c r="I2072" s="252">
        <v>450</v>
      </c>
      <c r="J2072" s="252">
        <v>10626</v>
      </c>
      <c r="K2072" s="38">
        <f t="shared" si="122"/>
        <v>4781700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>154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customHeight="1">
      <c r="A2073" s="204" t="str">
        <f>IF(B2073&lt;&gt;"",IF(AND(B2073&gt;=_TM1,B2073&lt;=_TM2,OR(TH!L2073="1111",TH!M2073="1111")),TH!D2073,""),"")</f>
        <v/>
      </c>
      <c r="B2073" s="36">
        <f t="shared" si="121"/>
        <v>5</v>
      </c>
      <c r="C2073" s="37">
        <f t="shared" si="123"/>
        <v>41038</v>
      </c>
      <c r="D2073" s="191" t="s">
        <v>1722</v>
      </c>
      <c r="E2073" s="184">
        <v>41038</v>
      </c>
      <c r="F2073" s="189" t="s">
        <v>1380</v>
      </c>
      <c r="G2073" s="617" t="s">
        <v>993</v>
      </c>
      <c r="H2073" s="7" t="s">
        <v>1700</v>
      </c>
      <c r="I2073" s="252">
        <v>100</v>
      </c>
      <c r="J2073" s="252">
        <v>15159</v>
      </c>
      <c r="K2073" s="38">
        <f t="shared" si="122"/>
        <v>1515900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>154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customHeight="1">
      <c r="A2074" s="204" t="str">
        <f>IF(B2074&lt;&gt;"",IF(AND(B2074&gt;=_TM1,B2074&lt;=_TM2,OR(TH!L2074="1111",TH!M2074="1111")),TH!D2074,""),"")</f>
        <v/>
      </c>
      <c r="B2074" s="36">
        <f t="shared" si="121"/>
        <v>5</v>
      </c>
      <c r="C2074" s="37">
        <f t="shared" si="123"/>
        <v>41038</v>
      </c>
      <c r="D2074" s="191" t="s">
        <v>1722</v>
      </c>
      <c r="E2074" s="191">
        <v>41038</v>
      </c>
      <c r="F2074" s="192" t="s">
        <v>1288</v>
      </c>
      <c r="G2074" s="490" t="s">
        <v>993</v>
      </c>
      <c r="H2074" s="7" t="s">
        <v>1700</v>
      </c>
      <c r="I2074" s="252">
        <v>89</v>
      </c>
      <c r="J2074" s="252">
        <v>11995.444444444445</v>
      </c>
      <c r="K2074" s="38">
        <f t="shared" si="122"/>
        <v>1067595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>154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customHeight="1">
      <c r="A2075" s="204" t="str">
        <f>IF(B2075&lt;&gt;"",IF(AND(B2075&gt;=_TM1,B2075&lt;=_TM2,OR(TH!L2075="1111",TH!M2075="1111")),TH!D2075,""),"")</f>
        <v/>
      </c>
      <c r="B2075" s="36">
        <f t="shared" si="121"/>
        <v>5</v>
      </c>
      <c r="C2075" s="37">
        <f t="shared" si="123"/>
        <v>41042</v>
      </c>
      <c r="D2075" s="191" t="s">
        <v>1723</v>
      </c>
      <c r="E2075" s="191">
        <v>41042</v>
      </c>
      <c r="F2075" s="192" t="s">
        <v>758</v>
      </c>
      <c r="G2075" s="490" t="s">
        <v>994</v>
      </c>
      <c r="H2075" s="7" t="s">
        <v>1700</v>
      </c>
      <c r="I2075" s="252">
        <v>225</v>
      </c>
      <c r="J2075" s="252">
        <v>12066</v>
      </c>
      <c r="K2075" s="38">
        <f t="shared" si="122"/>
        <v>2714850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>154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customHeight="1">
      <c r="A2076" s="204" t="str">
        <f>IF(B2076&lt;&gt;"",IF(AND(B2076&gt;=_TM1,B2076&lt;=_TM2,OR(TH!L2076="1111",TH!M2076="1111")),TH!D2076,""),"")</f>
        <v/>
      </c>
      <c r="B2076" s="36">
        <f t="shared" si="121"/>
        <v>5</v>
      </c>
      <c r="C2076" s="37">
        <f t="shared" si="123"/>
        <v>41042</v>
      </c>
      <c r="D2076" s="191" t="s">
        <v>1723</v>
      </c>
      <c r="E2076" s="191">
        <v>41042</v>
      </c>
      <c r="F2076" s="192" t="s">
        <v>1264</v>
      </c>
      <c r="G2076" s="490" t="s">
        <v>994</v>
      </c>
      <c r="H2076" s="7" t="s">
        <v>1700</v>
      </c>
      <c r="I2076" s="252">
        <v>262</v>
      </c>
      <c r="J2076" s="252">
        <v>15913</v>
      </c>
      <c r="K2076" s="38">
        <f t="shared" si="122"/>
        <v>4169206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>154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customHeight="1">
      <c r="A2077" s="204" t="str">
        <f>IF(B2077&lt;&gt;"",IF(AND(B2077&gt;=_TM1,B2077&lt;=_TM2,OR(TH!L2077="1111",TH!M2077="1111")),TH!D2077,""),"")</f>
        <v/>
      </c>
      <c r="B2077" s="36">
        <f t="shared" si="121"/>
        <v>5</v>
      </c>
      <c r="C2077" s="37">
        <f t="shared" si="123"/>
        <v>41042</v>
      </c>
      <c r="D2077" s="191" t="s">
        <v>1723</v>
      </c>
      <c r="E2077" s="191">
        <v>41042</v>
      </c>
      <c r="F2077" s="192" t="s">
        <v>767</v>
      </c>
      <c r="G2077" s="490" t="s">
        <v>994</v>
      </c>
      <c r="H2077" s="7" t="s">
        <v>1700</v>
      </c>
      <c r="I2077" s="252">
        <v>10</v>
      </c>
      <c r="J2077" s="252">
        <v>27405</v>
      </c>
      <c r="K2077" s="38">
        <f t="shared" si="122"/>
        <v>274050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>154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customHeight="1">
      <c r="A2078" s="204" t="str">
        <f>IF(B2078&lt;&gt;"",IF(AND(B2078&gt;=_TM1,B2078&lt;=_TM2,OR(TH!L2078="1111",TH!M2078="1111")),TH!D2078,""),"")</f>
        <v/>
      </c>
      <c r="B2078" s="36">
        <f t="shared" si="121"/>
        <v>5</v>
      </c>
      <c r="C2078" s="37">
        <f t="shared" si="123"/>
        <v>41044</v>
      </c>
      <c r="D2078" s="191" t="s">
        <v>1724</v>
      </c>
      <c r="E2078" s="191">
        <v>41044</v>
      </c>
      <c r="F2078" s="192" t="s">
        <v>1321</v>
      </c>
      <c r="G2078" s="490" t="s">
        <v>995</v>
      </c>
      <c r="H2078" s="7" t="s">
        <v>1700</v>
      </c>
      <c r="I2078" s="252">
        <v>170</v>
      </c>
      <c r="J2078" s="252">
        <v>30997</v>
      </c>
      <c r="K2078" s="38">
        <f t="shared" si="122"/>
        <v>5269490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>154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customHeight="1">
      <c r="A2079" s="204" t="str">
        <f>IF(B2079&lt;&gt;"",IF(AND(B2079&gt;=_TM1,B2079&lt;=_TM2,OR(TH!L2079="1111",TH!M2079="1111")),TH!D2079,""),"")</f>
        <v/>
      </c>
      <c r="B2079" s="36">
        <f t="shared" si="121"/>
        <v>5</v>
      </c>
      <c r="C2079" s="37">
        <f t="shared" si="123"/>
        <v>41044</v>
      </c>
      <c r="D2079" s="191" t="s">
        <v>1724</v>
      </c>
      <c r="E2079" s="191">
        <v>41044</v>
      </c>
      <c r="F2079" s="192" t="s">
        <v>1308</v>
      </c>
      <c r="G2079" s="490" t="s">
        <v>995</v>
      </c>
      <c r="H2079" s="7" t="s">
        <v>1700</v>
      </c>
      <c r="I2079" s="252">
        <v>100</v>
      </c>
      <c r="J2079" s="252">
        <v>21728</v>
      </c>
      <c r="K2079" s="38">
        <f t="shared" si="122"/>
        <v>2172800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>154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customHeight="1">
      <c r="A2080" s="204" t="str">
        <f>IF(B2080&lt;&gt;"",IF(AND(B2080&gt;=_TM1,B2080&lt;=_TM2,OR(TH!L2080="1111",TH!M2080="1111")),TH!D2080,""),"")</f>
        <v/>
      </c>
      <c r="B2080" s="36">
        <f t="shared" si="121"/>
        <v>5</v>
      </c>
      <c r="C2080" s="37">
        <f t="shared" si="123"/>
        <v>41044</v>
      </c>
      <c r="D2080" s="191" t="s">
        <v>1724</v>
      </c>
      <c r="E2080" s="191">
        <v>41044</v>
      </c>
      <c r="F2080" s="192" t="s">
        <v>1293</v>
      </c>
      <c r="G2080" s="490" t="s">
        <v>996</v>
      </c>
      <c r="H2080" s="7" t="s">
        <v>1700</v>
      </c>
      <c r="I2080" s="252">
        <v>100</v>
      </c>
      <c r="J2080" s="252">
        <v>9332</v>
      </c>
      <c r="K2080" s="38">
        <f t="shared" si="122"/>
        <v>933200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>154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customHeight="1">
      <c r="A2081" s="204" t="str">
        <f>IF(B2081&lt;&gt;"",IF(AND(B2081&gt;=_TM1,B2081&lt;=_TM2,OR(TH!L2081="1111",TH!M2081="1111")),TH!D2081,""),"")</f>
        <v/>
      </c>
      <c r="B2081" s="36">
        <f t="shared" si="121"/>
        <v>5</v>
      </c>
      <c r="C2081" s="37">
        <f t="shared" si="123"/>
        <v>41044</v>
      </c>
      <c r="D2081" s="191" t="s">
        <v>1724</v>
      </c>
      <c r="E2081" s="191">
        <v>41044</v>
      </c>
      <c r="F2081" s="192" t="s">
        <v>1413</v>
      </c>
      <c r="G2081" s="490" t="s">
        <v>996</v>
      </c>
      <c r="H2081" s="7" t="s">
        <v>1700</v>
      </c>
      <c r="I2081" s="252">
        <v>88</v>
      </c>
      <c r="J2081" s="252">
        <v>17722</v>
      </c>
      <c r="K2081" s="38">
        <f t="shared" si="122"/>
        <v>1559536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>154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customHeight="1">
      <c r="A2082" s="204" t="str">
        <f>IF(B2082&lt;&gt;"",IF(AND(B2082&gt;=_TM1,B2082&lt;=_TM2,OR(TH!L2082="1111",TH!M2082="1111")),TH!D2082,""),"")</f>
        <v/>
      </c>
      <c r="B2082" s="36">
        <f t="shared" si="121"/>
        <v>5</v>
      </c>
      <c r="C2082" s="37">
        <f t="shared" si="123"/>
        <v>41044</v>
      </c>
      <c r="D2082" s="191" t="s">
        <v>1724</v>
      </c>
      <c r="E2082" s="191">
        <v>41044</v>
      </c>
      <c r="F2082" s="192" t="s">
        <v>1299</v>
      </c>
      <c r="G2082" s="490" t="s">
        <v>996</v>
      </c>
      <c r="H2082" s="7" t="s">
        <v>1700</v>
      </c>
      <c r="I2082" s="252">
        <v>328</v>
      </c>
      <c r="J2082" s="252">
        <v>10775</v>
      </c>
      <c r="K2082" s="38">
        <f t="shared" si="122"/>
        <v>3534200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>154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customHeight="1">
      <c r="A2083" s="204" t="str">
        <f>IF(B2083&lt;&gt;"",IF(AND(B2083&gt;=_TM1,B2083&lt;=_TM2,OR(TH!L2083="1111",TH!M2083="1111")),TH!D2083,""),"")</f>
        <v/>
      </c>
      <c r="B2083" s="36">
        <f t="shared" si="121"/>
        <v>5</v>
      </c>
      <c r="C2083" s="37">
        <f t="shared" si="123"/>
        <v>41044</v>
      </c>
      <c r="D2083" s="191" t="s">
        <v>1724</v>
      </c>
      <c r="E2083" s="191">
        <v>41044</v>
      </c>
      <c r="F2083" s="192" t="s">
        <v>1392</v>
      </c>
      <c r="G2083" s="490" t="s">
        <v>996</v>
      </c>
      <c r="H2083" s="7" t="s">
        <v>1700</v>
      </c>
      <c r="I2083" s="252">
        <v>510</v>
      </c>
      <c r="J2083" s="252">
        <v>14573</v>
      </c>
      <c r="K2083" s="38">
        <f t="shared" si="122"/>
        <v>7432230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>154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customHeight="1">
      <c r="A2084" s="204" t="str">
        <f>IF(B2084&lt;&gt;"",IF(AND(B2084&gt;=_TM1,B2084&lt;=_TM2,OR(TH!L2084="1111",TH!M2084="1111")),TH!D2084,""),"")</f>
        <v/>
      </c>
      <c r="B2084" s="36">
        <f t="shared" si="121"/>
        <v>5</v>
      </c>
      <c r="C2084" s="37">
        <f t="shared" si="123"/>
        <v>41048</v>
      </c>
      <c r="D2084" s="191" t="s">
        <v>1725</v>
      </c>
      <c r="E2084" s="191">
        <v>41048</v>
      </c>
      <c r="F2084" s="189" t="s">
        <v>1393</v>
      </c>
      <c r="G2084" s="617" t="s">
        <v>998</v>
      </c>
      <c r="H2084" s="7" t="s">
        <v>1700</v>
      </c>
      <c r="I2084" s="252">
        <v>50</v>
      </c>
      <c r="J2084" s="252">
        <v>15578</v>
      </c>
      <c r="K2084" s="38">
        <f t="shared" si="122"/>
        <v>778900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>154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customHeight="1">
      <c r="A2085" s="204" t="str">
        <f>IF(B2085&lt;&gt;"",IF(AND(B2085&gt;=_TM1,B2085&lt;=_TM2,OR(TH!L2085="1111",TH!M2085="1111")),TH!D2085,""),"")</f>
        <v/>
      </c>
      <c r="B2085" s="36">
        <f t="shared" si="121"/>
        <v>5</v>
      </c>
      <c r="C2085" s="37">
        <f t="shared" si="123"/>
        <v>41048</v>
      </c>
      <c r="D2085" s="191" t="s">
        <v>1725</v>
      </c>
      <c r="E2085" s="191">
        <v>41048</v>
      </c>
      <c r="F2085" s="189" t="s">
        <v>1383</v>
      </c>
      <c r="G2085" s="617" t="s">
        <v>998</v>
      </c>
      <c r="H2085" s="7" t="s">
        <v>1700</v>
      </c>
      <c r="I2085" s="252">
        <v>100</v>
      </c>
      <c r="J2085" s="252">
        <v>13782</v>
      </c>
      <c r="K2085" s="38">
        <f t="shared" si="122"/>
        <v>1378200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>154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customHeight="1">
      <c r="A2086" s="204" t="str">
        <f>IF(B2086&lt;&gt;"",IF(AND(B2086&gt;=_TM1,B2086&lt;=_TM2,OR(TH!L2086="1111",TH!M2086="1111")),TH!D2086,""),"")</f>
        <v/>
      </c>
      <c r="B2086" s="36">
        <f t="shared" si="121"/>
        <v>5</v>
      </c>
      <c r="C2086" s="37">
        <f t="shared" si="123"/>
        <v>41048</v>
      </c>
      <c r="D2086" s="191" t="s">
        <v>1725</v>
      </c>
      <c r="E2086" s="191">
        <v>41048</v>
      </c>
      <c r="F2086" s="189" t="s">
        <v>1394</v>
      </c>
      <c r="G2086" s="617" t="s">
        <v>998</v>
      </c>
      <c r="H2086" s="7" t="s">
        <v>1700</v>
      </c>
      <c r="I2086" s="252">
        <v>575</v>
      </c>
      <c r="J2086" s="252">
        <v>19819</v>
      </c>
      <c r="K2086" s="38">
        <f t="shared" si="122"/>
        <v>11395925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>154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customHeight="1">
      <c r="A2087" s="204" t="str">
        <f>IF(B2087&lt;&gt;"",IF(AND(B2087&gt;=_TM1,B2087&lt;=_TM2,OR(TH!L2087="1111",TH!M2087="1111")),TH!D2087,""),"")</f>
        <v/>
      </c>
      <c r="B2087" s="36">
        <f t="shared" si="121"/>
        <v>5</v>
      </c>
      <c r="C2087" s="37">
        <f t="shared" si="123"/>
        <v>41048</v>
      </c>
      <c r="D2087" s="191" t="s">
        <v>1725</v>
      </c>
      <c r="E2087" s="191">
        <v>41048</v>
      </c>
      <c r="F2087" s="192" t="s">
        <v>1313</v>
      </c>
      <c r="G2087" s="490" t="s">
        <v>999</v>
      </c>
      <c r="H2087" s="7" t="s">
        <v>1700</v>
      </c>
      <c r="I2087" s="252">
        <v>250</v>
      </c>
      <c r="J2087" s="252">
        <v>14726</v>
      </c>
      <c r="K2087" s="38">
        <f t="shared" si="122"/>
        <v>3681500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>154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customHeight="1">
      <c r="A2088" s="204" t="str">
        <f>IF(B2088&lt;&gt;"",IF(AND(B2088&gt;=_TM1,B2088&lt;=_TM2,OR(TH!L2088="1111",TH!M2088="1111")),TH!D2088,""),"")</f>
        <v/>
      </c>
      <c r="B2088" s="36">
        <f t="shared" si="121"/>
        <v>5</v>
      </c>
      <c r="C2088" s="37">
        <f t="shared" si="123"/>
        <v>41048</v>
      </c>
      <c r="D2088" s="191" t="s">
        <v>1725</v>
      </c>
      <c r="E2088" s="191">
        <v>41048</v>
      </c>
      <c r="F2088" s="192" t="s">
        <v>1415</v>
      </c>
      <c r="G2088" s="490" t="s">
        <v>999</v>
      </c>
      <c r="H2088" s="7" t="s">
        <v>1700</v>
      </c>
      <c r="I2088" s="252">
        <v>500</v>
      </c>
      <c r="J2088" s="252">
        <v>8316</v>
      </c>
      <c r="K2088" s="38">
        <f t="shared" si="122"/>
        <v>4158000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>154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customHeight="1">
      <c r="A2089" s="204" t="str">
        <f>IF(B2089&lt;&gt;"",IF(AND(B2089&gt;=_TM1,B2089&lt;=_TM2,OR(TH!L2089="1111",TH!M2089="1111")),TH!D2089,""),"")</f>
        <v/>
      </c>
      <c r="B2089" s="36">
        <f t="shared" si="121"/>
        <v>5</v>
      </c>
      <c r="C2089" s="37">
        <f t="shared" si="123"/>
        <v>41048</v>
      </c>
      <c r="D2089" s="191" t="s">
        <v>1725</v>
      </c>
      <c r="E2089" s="191">
        <v>41048</v>
      </c>
      <c r="F2089" s="192" t="s">
        <v>1298</v>
      </c>
      <c r="G2089" s="490" t="s">
        <v>999</v>
      </c>
      <c r="H2089" s="7" t="s">
        <v>1700</v>
      </c>
      <c r="I2089" s="252">
        <v>500</v>
      </c>
      <c r="J2089" s="252">
        <v>18306</v>
      </c>
      <c r="K2089" s="38">
        <f t="shared" si="122"/>
        <v>9153000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>154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customHeight="1">
      <c r="A2090" s="204" t="str">
        <f>IF(B2090&lt;&gt;"",IF(AND(B2090&gt;=_TM1,B2090&lt;=_TM2,OR(TH!L2090="1111",TH!M2090="1111")),TH!D2090,""),"")</f>
        <v/>
      </c>
      <c r="B2090" s="36">
        <f t="shared" si="121"/>
        <v>5</v>
      </c>
      <c r="C2090" s="37">
        <f t="shared" si="123"/>
        <v>41050</v>
      </c>
      <c r="D2090" s="191" t="s">
        <v>1726</v>
      </c>
      <c r="E2090" s="191">
        <v>41050</v>
      </c>
      <c r="F2090" s="192" t="s">
        <v>1437</v>
      </c>
      <c r="G2090" s="490" t="s">
        <v>1001</v>
      </c>
      <c r="H2090" s="7" t="s">
        <v>1700</v>
      </c>
      <c r="I2090" s="252">
        <v>120</v>
      </c>
      <c r="J2090" s="252">
        <v>11578</v>
      </c>
      <c r="K2090" s="38">
        <f t="shared" si="122"/>
        <v>1389360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customHeight="1">
      <c r="A2091" s="204" t="str">
        <f>IF(B2091&lt;&gt;"",IF(AND(B2091&gt;=_TM1,B2091&lt;=_TM2,OR(TH!L2091="1111",TH!M2091="1111")),TH!D2091,""),"")</f>
        <v/>
      </c>
      <c r="B2091" s="36">
        <f t="shared" si="121"/>
        <v>5</v>
      </c>
      <c r="C2091" s="37">
        <f t="shared" si="123"/>
        <v>41050</v>
      </c>
      <c r="D2091" s="191" t="s">
        <v>1726</v>
      </c>
      <c r="E2091" s="191">
        <v>41050</v>
      </c>
      <c r="F2091" s="192" t="s">
        <v>1403</v>
      </c>
      <c r="G2091" s="490" t="s">
        <v>1001</v>
      </c>
      <c r="H2091" s="7" t="s">
        <v>1700</v>
      </c>
      <c r="I2091" s="252">
        <v>150</v>
      </c>
      <c r="J2091" s="252">
        <v>10811</v>
      </c>
      <c r="K2091" s="38">
        <f t="shared" si="122"/>
        <v>1621650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>154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customHeight="1">
      <c r="A2092" s="204" t="str">
        <f>IF(B2092&lt;&gt;"",IF(AND(B2092&gt;=_TM1,B2092&lt;=_TM2,OR(TH!L2092="1111",TH!M2092="1111")),TH!D2092,""),"")</f>
        <v/>
      </c>
      <c r="B2092" s="36">
        <f t="shared" si="121"/>
        <v>5</v>
      </c>
      <c r="C2092" s="37">
        <f t="shared" si="123"/>
        <v>41050</v>
      </c>
      <c r="D2092" s="191" t="s">
        <v>1726</v>
      </c>
      <c r="E2092" s="191">
        <v>41050</v>
      </c>
      <c r="F2092" s="192" t="s">
        <v>1294</v>
      </c>
      <c r="G2092" s="490" t="s">
        <v>1002</v>
      </c>
      <c r="H2092" s="7" t="s">
        <v>1700</v>
      </c>
      <c r="I2092" s="252">
        <v>500</v>
      </c>
      <c r="J2092" s="252">
        <v>15825</v>
      </c>
      <c r="K2092" s="38">
        <f t="shared" si="122"/>
        <v>7912500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customHeight="1">
      <c r="A2093" s="204" t="str">
        <f>IF(B2093&lt;&gt;"",IF(AND(B2093&gt;=_TM1,B2093&lt;=_TM2,OR(TH!L2093="1111",TH!M2093="1111")),TH!D2093,""),"")</f>
        <v/>
      </c>
      <c r="B2093" s="36">
        <f t="shared" si="121"/>
        <v>5</v>
      </c>
      <c r="C2093" s="37">
        <f t="shared" si="123"/>
        <v>41050</v>
      </c>
      <c r="D2093" s="191" t="s">
        <v>1726</v>
      </c>
      <c r="E2093" s="191">
        <v>41050</v>
      </c>
      <c r="F2093" s="192" t="s">
        <v>1396</v>
      </c>
      <c r="G2093" s="490" t="s">
        <v>1003</v>
      </c>
      <c r="H2093" s="7" t="s">
        <v>1700</v>
      </c>
      <c r="I2093" s="252">
        <v>850</v>
      </c>
      <c r="J2093" s="252">
        <v>19041</v>
      </c>
      <c r="K2093" s="38">
        <f t="shared" si="122"/>
        <v>16184850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>154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customHeight="1">
      <c r="A2094" s="204" t="str">
        <f>IF(B2094&lt;&gt;"",IF(AND(B2094&gt;=_TM1,B2094&lt;=_TM2,OR(TH!L2094="1111",TH!M2094="1111")),TH!D2094,""),"")</f>
        <v/>
      </c>
      <c r="B2094" s="36">
        <f t="shared" si="121"/>
        <v>5</v>
      </c>
      <c r="C2094" s="37">
        <f t="shared" si="123"/>
        <v>41050</v>
      </c>
      <c r="D2094" s="191" t="s">
        <v>1726</v>
      </c>
      <c r="E2094" s="191">
        <v>41050</v>
      </c>
      <c r="F2094" s="192" t="s">
        <v>1288</v>
      </c>
      <c r="G2094" s="490" t="s">
        <v>1003</v>
      </c>
      <c r="H2094" s="7" t="s">
        <v>1700</v>
      </c>
      <c r="I2094" s="252">
        <v>450</v>
      </c>
      <c r="J2094" s="252">
        <v>11995.444444444445</v>
      </c>
      <c r="K2094" s="38">
        <f t="shared" si="122"/>
        <v>5397950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>154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customHeight="1">
      <c r="A2095" s="204" t="str">
        <f>IF(B2095&lt;&gt;"",IF(AND(B2095&gt;=_TM1,B2095&lt;=_TM2,OR(TH!L2095="1111",TH!M2095="1111")),TH!D2095,""),"")</f>
        <v/>
      </c>
      <c r="B2095" s="36">
        <f t="shared" si="121"/>
        <v>5</v>
      </c>
      <c r="C2095" s="37">
        <f t="shared" si="123"/>
        <v>41050</v>
      </c>
      <c r="D2095" s="191" t="s">
        <v>1726</v>
      </c>
      <c r="E2095" s="191">
        <v>41050</v>
      </c>
      <c r="F2095" s="192" t="s">
        <v>1371</v>
      </c>
      <c r="G2095" s="490" t="s">
        <v>1003</v>
      </c>
      <c r="H2095" s="7" t="s">
        <v>1700</v>
      </c>
      <c r="I2095" s="252">
        <v>455</v>
      </c>
      <c r="J2095" s="252">
        <v>19937.945495836488</v>
      </c>
      <c r="K2095" s="38">
        <f t="shared" si="122"/>
        <v>9071765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>154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customHeight="1">
      <c r="A2096" s="204" t="str">
        <f>IF(B2096&lt;&gt;"",IF(AND(B2096&gt;=_TM1,B2096&lt;=_TM2,OR(TH!L2096="1111",TH!M2096="1111")),TH!D2096,""),"")</f>
        <v/>
      </c>
      <c r="B2096" s="36">
        <f t="shared" si="121"/>
        <v>5</v>
      </c>
      <c r="C2096" s="37">
        <f t="shared" si="123"/>
        <v>41056</v>
      </c>
      <c r="D2096" s="191" t="s">
        <v>1727</v>
      </c>
      <c r="E2096" s="191">
        <v>41056</v>
      </c>
      <c r="F2096" s="192" t="s">
        <v>1449</v>
      </c>
      <c r="G2096" s="490" t="s">
        <v>1009</v>
      </c>
      <c r="H2096" s="7" t="s">
        <v>1700</v>
      </c>
      <c r="I2096" s="252">
        <v>500</v>
      </c>
      <c r="J2096" s="252">
        <v>11447</v>
      </c>
      <c r="K2096" s="38">
        <f t="shared" si="122"/>
        <v>5723500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>154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customHeight="1">
      <c r="A2097" s="204" t="str">
        <f>IF(B2097&lt;&gt;"",IF(AND(B2097&gt;=_TM1,B2097&lt;=_TM2,OR(TH!L2097="1111",TH!M2097="1111")),TH!D2097,""),"")</f>
        <v/>
      </c>
      <c r="B2097" s="36">
        <f t="shared" si="121"/>
        <v>5</v>
      </c>
      <c r="C2097" s="37">
        <f t="shared" si="123"/>
        <v>41056</v>
      </c>
      <c r="D2097" s="191" t="s">
        <v>1727</v>
      </c>
      <c r="E2097" s="191">
        <v>41056</v>
      </c>
      <c r="F2097" s="192" t="s">
        <v>1430</v>
      </c>
      <c r="G2097" s="490" t="s">
        <v>1009</v>
      </c>
      <c r="H2097" s="7" t="s">
        <v>1700</v>
      </c>
      <c r="I2097" s="252">
        <v>500</v>
      </c>
      <c r="J2097" s="252">
        <v>10584</v>
      </c>
      <c r="K2097" s="38">
        <f t="shared" si="122"/>
        <v>5292000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>154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customHeight="1">
      <c r="A2098" s="204" t="str">
        <f>IF(B2098&lt;&gt;"",IF(AND(B2098&gt;=_TM1,B2098&lt;=_TM2,OR(TH!L2098="1111",TH!M2098="1111")),TH!D2098,""),"")</f>
        <v/>
      </c>
      <c r="B2098" s="36">
        <f t="shared" si="121"/>
        <v>5</v>
      </c>
      <c r="C2098" s="37">
        <f t="shared" si="123"/>
        <v>41056</v>
      </c>
      <c r="D2098" s="191" t="s">
        <v>1727</v>
      </c>
      <c r="E2098" s="191">
        <v>41056</v>
      </c>
      <c r="F2098" s="192" t="s">
        <v>1385</v>
      </c>
      <c r="G2098" s="490" t="s">
        <v>1010</v>
      </c>
      <c r="H2098" s="7" t="s">
        <v>1700</v>
      </c>
      <c r="I2098" s="252">
        <v>0.5</v>
      </c>
      <c r="J2098" s="252">
        <v>9026.7307692307695</v>
      </c>
      <c r="K2098" s="38">
        <f t="shared" si="122"/>
        <v>4513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>154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customHeight="1">
      <c r="A2099" s="204" t="str">
        <f>IF(B2099&lt;&gt;"",IF(AND(B2099&gt;=_TM1,B2099&lt;=_TM2,OR(TH!L2099="1111",TH!M2099="1111")),TH!D2099,""),"")</f>
        <v/>
      </c>
      <c r="B2099" s="36">
        <f t="shared" si="121"/>
        <v>5</v>
      </c>
      <c r="C2099" s="37">
        <f t="shared" si="123"/>
        <v>41056</v>
      </c>
      <c r="D2099" s="191" t="s">
        <v>1727</v>
      </c>
      <c r="E2099" s="191">
        <v>41056</v>
      </c>
      <c r="F2099" s="192" t="s">
        <v>1385</v>
      </c>
      <c r="G2099" s="490" t="s">
        <v>1010</v>
      </c>
      <c r="H2099" s="7" t="s">
        <v>1700</v>
      </c>
      <c r="I2099" s="252">
        <v>0.5</v>
      </c>
      <c r="J2099" s="252">
        <v>9026.7307692307695</v>
      </c>
      <c r="K2099" s="38">
        <f t="shared" si="122"/>
        <v>4513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>154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customHeight="1">
      <c r="A2100" s="204" t="str">
        <f>IF(B2100&lt;&gt;"",IF(AND(B2100&gt;=_TM1,B2100&lt;=_TM2,OR(TH!L2100="1111",TH!M2100="1111")),TH!D2100,""),"")</f>
        <v/>
      </c>
      <c r="B2100" s="36">
        <f t="shared" si="121"/>
        <v>5</v>
      </c>
      <c r="C2100" s="37">
        <f t="shared" si="123"/>
        <v>41056</v>
      </c>
      <c r="D2100" s="191" t="s">
        <v>1727</v>
      </c>
      <c r="E2100" s="191">
        <v>41056</v>
      </c>
      <c r="F2100" s="192" t="s">
        <v>1385</v>
      </c>
      <c r="G2100" s="490" t="s">
        <v>1010</v>
      </c>
      <c r="H2100" s="7" t="s">
        <v>1700</v>
      </c>
      <c r="I2100" s="252">
        <v>1</v>
      </c>
      <c r="J2100" s="252">
        <v>9026.75</v>
      </c>
      <c r="K2100" s="38">
        <f t="shared" si="122"/>
        <v>9027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>154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customHeight="1">
      <c r="A2101" s="204" t="str">
        <f>IF(B2101&lt;&gt;"",IF(AND(B2101&gt;=_TM1,B2101&lt;=_TM2,OR(TH!L2101="1111",TH!M2101="1111")),TH!D2101,""),"")</f>
        <v/>
      </c>
      <c r="B2101" s="36">
        <f t="shared" si="121"/>
        <v>5</v>
      </c>
      <c r="C2101" s="37">
        <f t="shared" si="123"/>
        <v>41056</v>
      </c>
      <c r="D2101" s="191" t="s">
        <v>1727</v>
      </c>
      <c r="E2101" s="191">
        <v>41056</v>
      </c>
      <c r="F2101" s="192" t="s">
        <v>1385</v>
      </c>
      <c r="G2101" s="490" t="s">
        <v>1010</v>
      </c>
      <c r="H2101" s="7" t="s">
        <v>1700</v>
      </c>
      <c r="I2101" s="252">
        <v>1</v>
      </c>
      <c r="J2101" s="252">
        <v>9026.75</v>
      </c>
      <c r="K2101" s="38">
        <f t="shared" si="122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154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customHeight="1">
      <c r="A2102" s="204" t="str">
        <f>IF(B2102&lt;&gt;"",IF(AND(B2102&gt;=_TM1,B2102&lt;=_TM2,OR(TH!L2102="1111",TH!M2102="1111")),TH!D2102,""),"")</f>
        <v/>
      </c>
      <c r="B2102" s="36">
        <f t="shared" si="121"/>
        <v>5</v>
      </c>
      <c r="C2102" s="37">
        <f t="shared" si="123"/>
        <v>41056</v>
      </c>
      <c r="D2102" s="191" t="s">
        <v>1727</v>
      </c>
      <c r="E2102" s="191">
        <v>41056</v>
      </c>
      <c r="F2102" s="192" t="s">
        <v>1385</v>
      </c>
      <c r="G2102" s="490" t="s">
        <v>1010</v>
      </c>
      <c r="H2102" s="7" t="s">
        <v>1700</v>
      </c>
      <c r="I2102" s="252">
        <v>1</v>
      </c>
      <c r="J2102" s="252">
        <v>9026.7307692307695</v>
      </c>
      <c r="K2102" s="38">
        <f t="shared" si="122"/>
        <v>9027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>154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customHeight="1">
      <c r="A2103" s="204" t="str">
        <f>IF(B2103&lt;&gt;"",IF(AND(B2103&gt;=_TM1,B2103&lt;=_TM2,OR(TH!L2103="1111",TH!M2103="1111")),TH!D2103,""),"")</f>
        <v/>
      </c>
      <c r="B2103" s="36">
        <f t="shared" si="121"/>
        <v>5</v>
      </c>
      <c r="C2103" s="37">
        <f t="shared" si="123"/>
        <v>41056</v>
      </c>
      <c r="D2103" s="191" t="s">
        <v>1727</v>
      </c>
      <c r="E2103" s="191">
        <v>41056</v>
      </c>
      <c r="F2103" s="192" t="s">
        <v>1385</v>
      </c>
      <c r="G2103" s="490" t="s">
        <v>1010</v>
      </c>
      <c r="H2103" s="7" t="s">
        <v>1700</v>
      </c>
      <c r="I2103" s="252">
        <v>1</v>
      </c>
      <c r="J2103" s="252">
        <v>9026.7307692307695</v>
      </c>
      <c r="K2103" s="38">
        <f t="shared" si="122"/>
        <v>9027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154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customHeight="1">
      <c r="A2104" s="204" t="str">
        <f>IF(B2104&lt;&gt;"",IF(AND(B2104&gt;=_TM1,B2104&lt;=_TM2,OR(TH!L2104="1111",TH!M2104="1111")),TH!D2104,""),"")</f>
        <v/>
      </c>
      <c r="B2104" s="36">
        <f t="shared" si="121"/>
        <v>5</v>
      </c>
      <c r="C2104" s="37">
        <f t="shared" si="123"/>
        <v>41056</v>
      </c>
      <c r="D2104" s="191" t="s">
        <v>1727</v>
      </c>
      <c r="E2104" s="191">
        <v>41056</v>
      </c>
      <c r="F2104" s="192" t="s">
        <v>1385</v>
      </c>
      <c r="G2104" s="490" t="s">
        <v>1010</v>
      </c>
      <c r="H2104" s="7" t="s">
        <v>1700</v>
      </c>
      <c r="I2104" s="252">
        <v>1</v>
      </c>
      <c r="J2104" s="252">
        <v>9026.75</v>
      </c>
      <c r="K2104" s="38">
        <f t="shared" si="122"/>
        <v>9027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>154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customHeight="1">
      <c r="A2105" s="204" t="str">
        <f>IF(B2105&lt;&gt;"",IF(AND(B2105&gt;=_TM1,B2105&lt;=_TM2,OR(TH!L2105="1111",TH!M2105="1111")),TH!D2105,""),"")</f>
        <v/>
      </c>
      <c r="B2105" s="36">
        <f t="shared" si="121"/>
        <v>5</v>
      </c>
      <c r="C2105" s="37">
        <f t="shared" si="123"/>
        <v>41056</v>
      </c>
      <c r="D2105" s="191" t="s">
        <v>1727</v>
      </c>
      <c r="E2105" s="191">
        <v>41056</v>
      </c>
      <c r="F2105" s="192" t="s">
        <v>1385</v>
      </c>
      <c r="G2105" s="490" t="s">
        <v>1010</v>
      </c>
      <c r="H2105" s="7" t="s">
        <v>1700</v>
      </c>
      <c r="I2105" s="252">
        <v>1</v>
      </c>
      <c r="J2105" s="252">
        <v>9026.7307692307695</v>
      </c>
      <c r="K2105" s="38">
        <f t="shared" si="122"/>
        <v>9027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>154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customHeight="1">
      <c r="A2106" s="204" t="str">
        <f>IF(B2106&lt;&gt;"",IF(AND(B2106&gt;=_TM1,B2106&lt;=_TM2,OR(TH!L2106="1111",TH!M2106="1111")),TH!D2106,""),"")</f>
        <v/>
      </c>
      <c r="B2106" s="36">
        <f t="shared" si="121"/>
        <v>5</v>
      </c>
      <c r="C2106" s="37">
        <f t="shared" si="123"/>
        <v>41056</v>
      </c>
      <c r="D2106" s="191" t="s">
        <v>1727</v>
      </c>
      <c r="E2106" s="184">
        <v>41056</v>
      </c>
      <c r="F2106" s="189" t="s">
        <v>755</v>
      </c>
      <c r="G2106" s="617" t="s">
        <v>1010</v>
      </c>
      <c r="H2106" s="7" t="s">
        <v>1700</v>
      </c>
      <c r="I2106" s="252">
        <v>3</v>
      </c>
      <c r="J2106" s="252">
        <v>8930</v>
      </c>
      <c r="K2106" s="38">
        <f t="shared" si="122"/>
        <v>26790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>154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customHeight="1">
      <c r="A2107" s="204" t="str">
        <f>IF(B2107&lt;&gt;"",IF(AND(B2107&gt;=_TM1,B2107&lt;=_TM2,OR(TH!L2107="1111",TH!M2107="1111")),TH!D2107,""),"")</f>
        <v/>
      </c>
      <c r="B2107" s="36">
        <f t="shared" si="121"/>
        <v>5</v>
      </c>
      <c r="C2107" s="37">
        <f t="shared" si="123"/>
        <v>41056</v>
      </c>
      <c r="D2107" s="191" t="s">
        <v>1727</v>
      </c>
      <c r="E2107" s="184">
        <v>41056</v>
      </c>
      <c r="F2107" s="189" t="s">
        <v>1385</v>
      </c>
      <c r="G2107" s="617" t="s">
        <v>1010</v>
      </c>
      <c r="H2107" s="7" t="s">
        <v>1700</v>
      </c>
      <c r="I2107" s="252">
        <v>1</v>
      </c>
      <c r="J2107" s="252">
        <v>9026.75</v>
      </c>
      <c r="K2107" s="38">
        <f t="shared" si="122"/>
        <v>9027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>154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customHeight="1">
      <c r="A2108" s="204" t="str">
        <f>IF(B2108&lt;&gt;"",IF(AND(B2108&gt;=_TM1,B2108&lt;=_TM2,OR(TH!L2108="1111",TH!M2108="1111")),TH!D2108,""),"")</f>
        <v/>
      </c>
      <c r="B2108" s="36">
        <f t="shared" si="121"/>
        <v>5</v>
      </c>
      <c r="C2108" s="37">
        <f t="shared" si="123"/>
        <v>41056</v>
      </c>
      <c r="D2108" s="191" t="s">
        <v>1727</v>
      </c>
      <c r="E2108" s="184">
        <v>41056</v>
      </c>
      <c r="F2108" s="189" t="s">
        <v>1421</v>
      </c>
      <c r="G2108" s="617" t="s">
        <v>1010</v>
      </c>
      <c r="H2108" s="7" t="s">
        <v>1700</v>
      </c>
      <c r="I2108" s="252">
        <v>14</v>
      </c>
      <c r="J2108" s="252">
        <v>14602.666666666666</v>
      </c>
      <c r="K2108" s="38">
        <f t="shared" si="122"/>
        <v>204437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>154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customHeight="1">
      <c r="A2109" s="204" t="str">
        <f>IF(B2109&lt;&gt;"",IF(AND(B2109&gt;=_TM1,B2109&lt;=_TM2,OR(TH!L2109="1111",TH!M2109="1111")),TH!D2109,""),"")</f>
        <v/>
      </c>
      <c r="B2109" s="36">
        <f t="shared" si="121"/>
        <v>5</v>
      </c>
      <c r="C2109" s="37">
        <f t="shared" si="123"/>
        <v>41056</v>
      </c>
      <c r="D2109" s="191" t="s">
        <v>1727</v>
      </c>
      <c r="E2109" s="191">
        <v>41056</v>
      </c>
      <c r="F2109" s="192" t="s">
        <v>1299</v>
      </c>
      <c r="G2109" s="490" t="s">
        <v>1010</v>
      </c>
      <c r="H2109" s="7" t="s">
        <v>1700</v>
      </c>
      <c r="I2109" s="252">
        <v>2</v>
      </c>
      <c r="J2109" s="252">
        <v>10775</v>
      </c>
      <c r="K2109" s="38">
        <f t="shared" si="122"/>
        <v>21550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>154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customHeight="1">
      <c r="A2110" s="204" t="str">
        <f>IF(B2110&lt;&gt;"",IF(AND(B2110&gt;=_TM1,B2110&lt;=_TM2,OR(TH!L2110="1111",TH!M2110="1111")),TH!D2110,""),"")</f>
        <v/>
      </c>
      <c r="B2110" s="36">
        <f t="shared" si="121"/>
        <v>5</v>
      </c>
      <c r="C2110" s="37">
        <f t="shared" si="123"/>
        <v>41056</v>
      </c>
      <c r="D2110" s="191" t="s">
        <v>1727</v>
      </c>
      <c r="E2110" s="191">
        <v>41056</v>
      </c>
      <c r="F2110" s="192" t="s">
        <v>736</v>
      </c>
      <c r="G2110" s="490" t="s">
        <v>1010</v>
      </c>
      <c r="H2110" s="7" t="s">
        <v>1700</v>
      </c>
      <c r="I2110" s="252">
        <v>1</v>
      </c>
      <c r="J2110" s="252">
        <v>9420</v>
      </c>
      <c r="K2110" s="38">
        <f t="shared" si="122"/>
        <v>9420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>154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customHeight="1">
      <c r="A2111" s="204" t="str">
        <f>IF(B2111&lt;&gt;"",IF(AND(B2111&gt;=_TM1,B2111&lt;=_TM2,OR(TH!L2111="1111",TH!M2111="1111")),TH!D2111,""),"")</f>
        <v/>
      </c>
      <c r="B2111" s="36">
        <f t="shared" si="121"/>
        <v>5</v>
      </c>
      <c r="C2111" s="37">
        <f t="shared" si="123"/>
        <v>41056</v>
      </c>
      <c r="D2111" s="191" t="s">
        <v>1727</v>
      </c>
      <c r="E2111" s="184">
        <v>41056</v>
      </c>
      <c r="F2111" s="189" t="s">
        <v>1385</v>
      </c>
      <c r="G2111" s="617" t="s">
        <v>1010</v>
      </c>
      <c r="H2111" s="7" t="s">
        <v>1700</v>
      </c>
      <c r="I2111" s="252">
        <v>1</v>
      </c>
      <c r="J2111" s="252">
        <v>9026.75</v>
      </c>
      <c r="K2111" s="38">
        <f t="shared" si="122"/>
        <v>9027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>154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customHeight="1">
      <c r="A2112" s="204" t="str">
        <f>IF(B2112&lt;&gt;"",IF(AND(B2112&gt;=_TM1,B2112&lt;=_TM2,OR(TH!L2112="1111",TH!M2112="1111")),TH!D2112,""),"")</f>
        <v/>
      </c>
      <c r="B2112" s="36">
        <f t="shared" si="121"/>
        <v>5</v>
      </c>
      <c r="C2112" s="37">
        <f t="shared" si="123"/>
        <v>41056</v>
      </c>
      <c r="D2112" s="191" t="s">
        <v>1727</v>
      </c>
      <c r="E2112" s="191">
        <v>41056</v>
      </c>
      <c r="F2112" s="192" t="s">
        <v>1385</v>
      </c>
      <c r="G2112" s="490" t="s">
        <v>1010</v>
      </c>
      <c r="H2112" s="7" t="s">
        <v>1700</v>
      </c>
      <c r="I2112" s="252">
        <v>1</v>
      </c>
      <c r="J2112" s="252">
        <v>9026.7307692307695</v>
      </c>
      <c r="K2112" s="38">
        <f t="shared" si="122"/>
        <v>9027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>154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21"/>
        <v>5</v>
      </c>
      <c r="C2113" s="37">
        <f t="shared" si="123"/>
        <v>41056</v>
      </c>
      <c r="D2113" s="191" t="s">
        <v>1727</v>
      </c>
      <c r="E2113" s="191">
        <v>41056</v>
      </c>
      <c r="F2113" s="192" t="s">
        <v>1288</v>
      </c>
      <c r="G2113" s="490" t="s">
        <v>1010</v>
      </c>
      <c r="H2113" s="7" t="s">
        <v>1700</v>
      </c>
      <c r="I2113" s="252">
        <v>4</v>
      </c>
      <c r="J2113" s="252">
        <v>11995.444444444445</v>
      </c>
      <c r="K2113" s="38">
        <f t="shared" si="122"/>
        <v>47982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>154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21"/>
        <v>5</v>
      </c>
      <c r="C2114" s="37">
        <f t="shared" si="123"/>
        <v>41056</v>
      </c>
      <c r="D2114" s="191" t="s">
        <v>1727</v>
      </c>
      <c r="E2114" s="184">
        <v>41056</v>
      </c>
      <c r="F2114" s="189" t="s">
        <v>736</v>
      </c>
      <c r="G2114" s="617" t="s">
        <v>1010</v>
      </c>
      <c r="H2114" s="7" t="s">
        <v>1700</v>
      </c>
      <c r="I2114" s="252">
        <v>4</v>
      </c>
      <c r="J2114" s="252">
        <v>9420</v>
      </c>
      <c r="K2114" s="38">
        <f t="shared" si="122"/>
        <v>37680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>154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>
        <f t="shared" ref="B2115:B2170" si="124">IF(C2115&lt;&gt;"",MONTH(C2115),"")</f>
        <v>5</v>
      </c>
      <c r="C2115" s="37">
        <f t="shared" si="123"/>
        <v>41056</v>
      </c>
      <c r="D2115" s="191" t="s">
        <v>1727</v>
      </c>
      <c r="E2115" s="191">
        <v>41056</v>
      </c>
      <c r="F2115" s="192" t="s">
        <v>1278</v>
      </c>
      <c r="G2115" s="490" t="s">
        <v>1010</v>
      </c>
      <c r="H2115" s="7" t="s">
        <v>1700</v>
      </c>
      <c r="I2115" s="252">
        <v>12</v>
      </c>
      <c r="J2115" s="252">
        <v>16878</v>
      </c>
      <c r="K2115" s="38">
        <f t="shared" si="122"/>
        <v>202536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>154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>
        <f t="shared" si="124"/>
        <v>5</v>
      </c>
      <c r="C2116" s="37">
        <f t="shared" si="123"/>
        <v>41056</v>
      </c>
      <c r="D2116" s="191" t="s">
        <v>1727</v>
      </c>
      <c r="E2116" s="191">
        <v>41056</v>
      </c>
      <c r="F2116" s="192" t="s">
        <v>1408</v>
      </c>
      <c r="G2116" s="490" t="s">
        <v>1010</v>
      </c>
      <c r="H2116" s="7" t="s">
        <v>1700</v>
      </c>
      <c r="I2116" s="252">
        <v>82</v>
      </c>
      <c r="J2116" s="252">
        <v>9286</v>
      </c>
      <c r="K2116" s="38">
        <f t="shared" si="122"/>
        <v>761452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>154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>
        <f t="shared" si="124"/>
        <v>5</v>
      </c>
      <c r="C2117" s="37">
        <f t="shared" si="123"/>
        <v>41056</v>
      </c>
      <c r="D2117" s="191" t="s">
        <v>1727</v>
      </c>
      <c r="E2117" s="191">
        <v>41056</v>
      </c>
      <c r="F2117" s="192" t="s">
        <v>1385</v>
      </c>
      <c r="G2117" s="490" t="s">
        <v>1010</v>
      </c>
      <c r="H2117" s="7" t="s">
        <v>1700</v>
      </c>
      <c r="I2117" s="252">
        <v>1</v>
      </c>
      <c r="J2117" s="252">
        <v>9026.7307692307695</v>
      </c>
      <c r="K2117" s="38">
        <f t="shared" si="122"/>
        <v>9027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>154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24"/>
        <v>5</v>
      </c>
      <c r="C2118" s="37">
        <f t="shared" si="123"/>
        <v>41056</v>
      </c>
      <c r="D2118" s="191" t="s">
        <v>1727</v>
      </c>
      <c r="E2118" s="191">
        <v>41056</v>
      </c>
      <c r="F2118" s="192" t="s">
        <v>736</v>
      </c>
      <c r="G2118" s="490" t="s">
        <v>1010</v>
      </c>
      <c r="H2118" s="7" t="s">
        <v>1700</v>
      </c>
      <c r="I2118" s="252">
        <v>5</v>
      </c>
      <c r="J2118" s="252">
        <v>9420</v>
      </c>
      <c r="K2118" s="38">
        <f t="shared" si="122"/>
        <v>47100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>154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s="849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24"/>
        <v>5</v>
      </c>
      <c r="C2119" s="37">
        <f t="shared" si="123"/>
        <v>41056</v>
      </c>
      <c r="D2119" s="191" t="s">
        <v>1727</v>
      </c>
      <c r="E2119" s="191">
        <v>41056</v>
      </c>
      <c r="F2119" s="192" t="s">
        <v>1384</v>
      </c>
      <c r="G2119" s="490" t="s">
        <v>1010</v>
      </c>
      <c r="H2119" s="7" t="s">
        <v>1700</v>
      </c>
      <c r="I2119" s="252">
        <v>60</v>
      </c>
      <c r="J2119" s="252">
        <v>11480</v>
      </c>
      <c r="K2119" s="38">
        <f t="shared" si="122"/>
        <v>688800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>154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198"/>
      <c r="AB2119" s="211"/>
    </row>
    <row r="2120" spans="1:28" s="849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24"/>
        <v>5</v>
      </c>
      <c r="C2120" s="37">
        <f t="shared" si="123"/>
        <v>41056</v>
      </c>
      <c r="D2120" s="191" t="s">
        <v>1727</v>
      </c>
      <c r="E2120" s="191">
        <v>41056</v>
      </c>
      <c r="F2120" s="192" t="s">
        <v>1267</v>
      </c>
      <c r="G2120" s="490" t="s">
        <v>1010</v>
      </c>
      <c r="H2120" s="7" t="s">
        <v>1700</v>
      </c>
      <c r="I2120" s="252">
        <v>1</v>
      </c>
      <c r="J2120" s="252">
        <v>14375</v>
      </c>
      <c r="K2120" s="38">
        <f t="shared" si="122"/>
        <v>14375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>154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198"/>
      <c r="AB2120" s="211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24"/>
        <v>5</v>
      </c>
      <c r="C2121" s="37">
        <f t="shared" si="123"/>
        <v>41056</v>
      </c>
      <c r="D2121" s="191" t="s">
        <v>1727</v>
      </c>
      <c r="E2121" s="191">
        <v>41056</v>
      </c>
      <c r="F2121" s="192" t="s">
        <v>1283</v>
      </c>
      <c r="G2121" s="490" t="s">
        <v>1010</v>
      </c>
      <c r="H2121" s="7" t="s">
        <v>1700</v>
      </c>
      <c r="I2121" s="252">
        <v>153</v>
      </c>
      <c r="J2121" s="252">
        <v>11150</v>
      </c>
      <c r="K2121" s="38">
        <f t="shared" si="122"/>
        <v>1705950</v>
      </c>
      <c r="L2121" s="39" t="s">
        <v>175</v>
      </c>
      <c r="M2121" s="39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>154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B2121" s="211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24"/>
        <v>5</v>
      </c>
      <c r="C2122" s="37">
        <f t="shared" si="123"/>
        <v>41056</v>
      </c>
      <c r="D2122" s="191" t="s">
        <v>1727</v>
      </c>
      <c r="E2122" s="191">
        <v>41056</v>
      </c>
      <c r="F2122" s="192" t="s">
        <v>1328</v>
      </c>
      <c r="G2122" s="490" t="s">
        <v>1010</v>
      </c>
      <c r="H2122" s="7" t="s">
        <v>1700</v>
      </c>
      <c r="I2122" s="252">
        <v>18</v>
      </c>
      <c r="J2122" s="252">
        <v>25149</v>
      </c>
      <c r="K2122" s="38">
        <f t="shared" si="122"/>
        <v>452682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>154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24"/>
        <v>5</v>
      </c>
      <c r="C2123" s="37">
        <f t="shared" si="123"/>
        <v>41056</v>
      </c>
      <c r="D2123" s="191" t="s">
        <v>1727</v>
      </c>
      <c r="E2123" s="191">
        <v>41056</v>
      </c>
      <c r="F2123" s="192" t="s">
        <v>787</v>
      </c>
      <c r="G2123" s="490" t="s">
        <v>1010</v>
      </c>
      <c r="H2123" s="7" t="s">
        <v>1700</v>
      </c>
      <c r="I2123" s="252">
        <v>23</v>
      </c>
      <c r="J2123" s="252">
        <v>14469.12</v>
      </c>
      <c r="K2123" s="38">
        <f t="shared" si="122"/>
        <v>332790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154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B2123" s="211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24"/>
        <v>5</v>
      </c>
      <c r="C2124" s="37">
        <f t="shared" si="123"/>
        <v>41056</v>
      </c>
      <c r="D2124" s="191" t="s">
        <v>1727</v>
      </c>
      <c r="E2124" s="191">
        <v>41056</v>
      </c>
      <c r="F2124" s="192" t="s">
        <v>1447</v>
      </c>
      <c r="G2124" s="490" t="s">
        <v>1010</v>
      </c>
      <c r="H2124" s="7" t="s">
        <v>1700</v>
      </c>
      <c r="I2124" s="252">
        <v>90</v>
      </c>
      <c r="J2124" s="252">
        <v>16748</v>
      </c>
      <c r="K2124" s="38">
        <f t="shared" si="122"/>
        <v>1507320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>154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B2124" s="211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24"/>
        <v>5</v>
      </c>
      <c r="C2125" s="37">
        <f t="shared" si="123"/>
        <v>41056</v>
      </c>
      <c r="D2125" s="191" t="s">
        <v>1727</v>
      </c>
      <c r="E2125" s="191">
        <v>41056</v>
      </c>
      <c r="F2125" s="192" t="s">
        <v>1329</v>
      </c>
      <c r="G2125" s="490" t="s">
        <v>1010</v>
      </c>
      <c r="H2125" s="7" t="s">
        <v>1700</v>
      </c>
      <c r="I2125" s="252">
        <v>55</v>
      </c>
      <c r="J2125" s="252">
        <v>23028</v>
      </c>
      <c r="K2125" s="38">
        <f t="shared" si="122"/>
        <v>1266540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154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B2125" s="211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24"/>
        <v>5</v>
      </c>
      <c r="C2126" s="37">
        <f t="shared" si="123"/>
        <v>41056</v>
      </c>
      <c r="D2126" s="191" t="s">
        <v>1727</v>
      </c>
      <c r="E2126" s="191">
        <v>41056</v>
      </c>
      <c r="F2126" s="192" t="s">
        <v>1289</v>
      </c>
      <c r="G2126" s="490" t="s">
        <v>1010</v>
      </c>
      <c r="H2126" s="7" t="s">
        <v>1700</v>
      </c>
      <c r="I2126" s="252">
        <v>250</v>
      </c>
      <c r="J2126" s="252">
        <v>23149</v>
      </c>
      <c r="K2126" s="38">
        <f t="shared" si="122"/>
        <v>5787250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>154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B2126" s="211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24"/>
        <v>5</v>
      </c>
      <c r="C2127" s="37">
        <f t="shared" si="123"/>
        <v>41056</v>
      </c>
      <c r="D2127" s="191" t="s">
        <v>1727</v>
      </c>
      <c r="E2127" s="191">
        <v>41056</v>
      </c>
      <c r="F2127" s="192" t="s">
        <v>1413</v>
      </c>
      <c r="G2127" s="490" t="s">
        <v>1010</v>
      </c>
      <c r="H2127" s="7" t="s">
        <v>1700</v>
      </c>
      <c r="I2127" s="252">
        <v>36</v>
      </c>
      <c r="J2127" s="252">
        <v>17722</v>
      </c>
      <c r="K2127" s="38">
        <f t="shared" si="122"/>
        <v>637992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154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B2127" s="211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24"/>
        <v>5</v>
      </c>
      <c r="C2128" s="37">
        <f t="shared" si="123"/>
        <v>41056</v>
      </c>
      <c r="D2128" s="191" t="s">
        <v>1727</v>
      </c>
      <c r="E2128" s="191">
        <v>41056</v>
      </c>
      <c r="F2128" s="192" t="s">
        <v>791</v>
      </c>
      <c r="G2128" s="490" t="s">
        <v>1010</v>
      </c>
      <c r="H2128" s="7" t="s">
        <v>1700</v>
      </c>
      <c r="I2128" s="252">
        <v>3</v>
      </c>
      <c r="J2128" s="252">
        <v>10448.9</v>
      </c>
      <c r="K2128" s="38">
        <f t="shared" ref="K2128:K2181" si="125">ROUND(I2128*J2128,0)</f>
        <v>31347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>154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B2128" s="211"/>
    </row>
    <row r="2129" spans="1:28" ht="15.75" customHeight="1">
      <c r="A2129" s="204" t="str">
        <f>IF(B2129&lt;&gt;"",IF(AND(B2129&gt;=_TM1,B2129&lt;=_TM2,OR(TH!L2129="1111",TH!M2129="1111")),TH!D2129,""),"")</f>
        <v/>
      </c>
      <c r="B2129" s="36">
        <f t="shared" si="124"/>
        <v>5</v>
      </c>
      <c r="C2129" s="37">
        <f t="shared" si="123"/>
        <v>41056</v>
      </c>
      <c r="D2129" s="191" t="s">
        <v>1727</v>
      </c>
      <c r="E2129" s="191">
        <v>41056</v>
      </c>
      <c r="F2129" s="192" t="s">
        <v>1371</v>
      </c>
      <c r="G2129" s="490" t="s">
        <v>1010</v>
      </c>
      <c r="H2129" s="7" t="s">
        <v>1700</v>
      </c>
      <c r="I2129" s="252">
        <v>46</v>
      </c>
      <c r="J2129" s="252">
        <v>19937.945495836488</v>
      </c>
      <c r="K2129" s="38">
        <f t="shared" si="125"/>
        <v>917145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>154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B2129" s="211"/>
    </row>
    <row r="2130" spans="1:28" ht="15.75" customHeight="1">
      <c r="A2130" s="204" t="str">
        <f>IF(B2130&lt;&gt;"",IF(AND(B2130&gt;=_TM1,B2130&lt;=_TM2,OR(TH!L2130="1111",TH!M2130="1111")),TH!D2130,""),"")</f>
        <v/>
      </c>
      <c r="B2130" s="36">
        <f t="shared" si="124"/>
        <v>5</v>
      </c>
      <c r="C2130" s="37">
        <f t="shared" si="123"/>
        <v>41056</v>
      </c>
      <c r="D2130" s="191" t="s">
        <v>1727</v>
      </c>
      <c r="E2130" s="191">
        <v>41056</v>
      </c>
      <c r="F2130" s="192" t="s">
        <v>1408</v>
      </c>
      <c r="G2130" s="490" t="s">
        <v>1011</v>
      </c>
      <c r="H2130" s="7" t="s">
        <v>1700</v>
      </c>
      <c r="I2130" s="252">
        <v>222</v>
      </c>
      <c r="J2130" s="252">
        <v>9286</v>
      </c>
      <c r="K2130" s="38">
        <f t="shared" si="125"/>
        <v>2061492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>154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B2130" s="211"/>
    </row>
    <row r="2131" spans="1:28" ht="15.75" customHeight="1">
      <c r="A2131" s="204" t="str">
        <f>IF(B2131&lt;&gt;"",IF(AND(B2131&gt;=_TM1,B2131&lt;=_TM2,OR(TH!L2131="1111",TH!M2131="1111")),TH!D2131,""),"")</f>
        <v/>
      </c>
      <c r="B2131" s="36">
        <f t="shared" si="124"/>
        <v>5</v>
      </c>
      <c r="C2131" s="37">
        <f t="shared" si="123"/>
        <v>41057</v>
      </c>
      <c r="D2131" s="191" t="s">
        <v>1728</v>
      </c>
      <c r="E2131" s="191">
        <v>41057</v>
      </c>
      <c r="F2131" s="192" t="s">
        <v>1431</v>
      </c>
      <c r="G2131" s="490" t="s">
        <v>1013</v>
      </c>
      <c r="H2131" s="7" t="s">
        <v>1700</v>
      </c>
      <c r="I2131" s="252">
        <v>265</v>
      </c>
      <c r="J2131" s="252">
        <v>11882</v>
      </c>
      <c r="K2131" s="38">
        <f t="shared" si="125"/>
        <v>3148730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>154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B2131" s="211"/>
    </row>
    <row r="2132" spans="1:28" ht="15.75" customHeight="1">
      <c r="A2132" s="204" t="str">
        <f>IF(B2132&lt;&gt;"",IF(AND(B2132&gt;=_TM1,B2132&lt;=_TM2,OR(TH!L2132="1111",TH!M2132="1111")),TH!D2132,""),"")</f>
        <v/>
      </c>
      <c r="B2132" s="36">
        <f t="shared" si="124"/>
        <v>5</v>
      </c>
      <c r="C2132" s="37">
        <f t="shared" si="123"/>
        <v>41057</v>
      </c>
      <c r="D2132" s="191" t="s">
        <v>1728</v>
      </c>
      <c r="E2132" s="191">
        <v>41057</v>
      </c>
      <c r="F2132" s="192" t="s">
        <v>1422</v>
      </c>
      <c r="G2132" s="490" t="s">
        <v>1014</v>
      </c>
      <c r="H2132" s="7" t="s">
        <v>1700</v>
      </c>
      <c r="I2132" s="252">
        <v>1000</v>
      </c>
      <c r="J2132" s="252">
        <v>9122</v>
      </c>
      <c r="K2132" s="38">
        <f t="shared" si="125"/>
        <v>9122000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>154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B2132" s="211"/>
    </row>
    <row r="2133" spans="1:28" ht="15.75" customHeight="1">
      <c r="A2133" s="204" t="str">
        <f>IF(B2133&lt;&gt;"",IF(AND(B2133&gt;=_TM1,B2133&lt;=_TM2,OR(TH!L2133="1111",TH!M2133="1111")),TH!D2133,""),"")</f>
        <v/>
      </c>
      <c r="B2133" s="36">
        <f t="shared" si="124"/>
        <v>5</v>
      </c>
      <c r="C2133" s="37">
        <f t="shared" si="123"/>
        <v>41057</v>
      </c>
      <c r="D2133" s="191" t="s">
        <v>1728</v>
      </c>
      <c r="E2133" s="191">
        <v>41057</v>
      </c>
      <c r="F2133" s="192" t="s">
        <v>1325</v>
      </c>
      <c r="G2133" s="490" t="s">
        <v>1016</v>
      </c>
      <c r="H2133" s="7" t="s">
        <v>1700</v>
      </c>
      <c r="I2133" s="252">
        <v>282</v>
      </c>
      <c r="J2133" s="252">
        <v>21210</v>
      </c>
      <c r="K2133" s="38">
        <f t="shared" si="125"/>
        <v>5981220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>154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B2133" s="211"/>
    </row>
    <row r="2134" spans="1:28" ht="15.75" customHeight="1">
      <c r="A2134" s="204" t="str">
        <f>IF(B2134&lt;&gt;"",IF(AND(B2134&gt;=_TM1,B2134&lt;=_TM2,OR(TH!L2134="1111",TH!M2134="1111")),TH!D2134,""),"")</f>
        <v/>
      </c>
      <c r="B2134" s="36">
        <f t="shared" si="124"/>
        <v>5</v>
      </c>
      <c r="C2134" s="37">
        <f t="shared" si="123"/>
        <v>41058</v>
      </c>
      <c r="D2134" s="191" t="s">
        <v>1729</v>
      </c>
      <c r="E2134" s="191">
        <v>41058</v>
      </c>
      <c r="F2134" s="192" t="s">
        <v>1394</v>
      </c>
      <c r="G2134" s="490" t="s">
        <v>1017</v>
      </c>
      <c r="H2134" s="7" t="s">
        <v>1700</v>
      </c>
      <c r="I2134" s="252">
        <v>180</v>
      </c>
      <c r="J2134" s="252">
        <v>19819</v>
      </c>
      <c r="K2134" s="38">
        <f t="shared" si="125"/>
        <v>3567420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>154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B2134" s="211"/>
    </row>
    <row r="2135" spans="1:28" ht="15.75" customHeight="1">
      <c r="A2135" s="204" t="str">
        <f>IF(B2135&lt;&gt;"",IF(AND(B2135&gt;=_TM1,B2135&lt;=_TM2,OR(TH!L2135="1111",TH!M2135="1111")),TH!D2135,""),"")</f>
        <v/>
      </c>
      <c r="B2135" s="36">
        <f t="shared" si="124"/>
        <v>5</v>
      </c>
      <c r="C2135" s="37">
        <f t="shared" si="123"/>
        <v>41058</v>
      </c>
      <c r="D2135" s="191" t="s">
        <v>1729</v>
      </c>
      <c r="E2135" s="191">
        <v>41058</v>
      </c>
      <c r="F2135" s="192" t="s">
        <v>1390</v>
      </c>
      <c r="G2135" s="490" t="s">
        <v>1017</v>
      </c>
      <c r="H2135" s="7" t="s">
        <v>1700</v>
      </c>
      <c r="I2135" s="252">
        <v>100</v>
      </c>
      <c r="J2135" s="252">
        <v>11866</v>
      </c>
      <c r="K2135" s="38">
        <f t="shared" si="125"/>
        <v>1186600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>154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B2135" s="211"/>
    </row>
    <row r="2136" spans="1:28" ht="15.75" customHeight="1">
      <c r="A2136" s="204" t="str">
        <f>IF(B2136&lt;&gt;"",IF(AND(B2136&gt;=_TM1,B2136&lt;=_TM2,OR(TH!L2136="1111",TH!M2136="1111")),TH!D2136,""),"")</f>
        <v/>
      </c>
      <c r="B2136" s="36">
        <f t="shared" si="124"/>
        <v>6</v>
      </c>
      <c r="C2136" s="37">
        <f t="shared" ref="C2136:C2189" si="126">E2136</f>
        <v>41068</v>
      </c>
      <c r="D2136" s="191" t="s">
        <v>1730</v>
      </c>
      <c r="E2136" s="191">
        <v>41068</v>
      </c>
      <c r="F2136" s="192" t="s">
        <v>1298</v>
      </c>
      <c r="G2136" s="490" t="s">
        <v>1019</v>
      </c>
      <c r="H2136" s="7" t="s">
        <v>1700</v>
      </c>
      <c r="I2136" s="252">
        <v>240</v>
      </c>
      <c r="J2136" s="252">
        <v>18306</v>
      </c>
      <c r="K2136" s="38">
        <f t="shared" si="125"/>
        <v>4393440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>154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B2136" s="211"/>
    </row>
    <row r="2137" spans="1:28" ht="15.75" customHeight="1">
      <c r="A2137" s="204" t="str">
        <f>IF(B2137&lt;&gt;"",IF(AND(B2137&gt;=_TM1,B2137&lt;=_TM2,OR(TH!L2137="1111",TH!M2137="1111")),TH!D2137,""),"")</f>
        <v/>
      </c>
      <c r="B2137" s="36">
        <f t="shared" si="124"/>
        <v>6</v>
      </c>
      <c r="C2137" s="37">
        <f t="shared" si="126"/>
        <v>41068</v>
      </c>
      <c r="D2137" s="191" t="s">
        <v>1730</v>
      </c>
      <c r="E2137" s="191">
        <v>41068</v>
      </c>
      <c r="F2137" s="192" t="s">
        <v>1394</v>
      </c>
      <c r="G2137" s="490" t="s">
        <v>1019</v>
      </c>
      <c r="H2137" s="7" t="s">
        <v>1700</v>
      </c>
      <c r="I2137" s="252">
        <v>50</v>
      </c>
      <c r="J2137" s="252">
        <v>19819</v>
      </c>
      <c r="K2137" s="38">
        <f t="shared" si="125"/>
        <v>990950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>154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B2137" s="211"/>
    </row>
    <row r="2138" spans="1:28" ht="15.75" customHeight="1">
      <c r="A2138" s="204" t="str">
        <f>IF(B2138&lt;&gt;"",IF(AND(B2138&gt;=_TM1,B2138&lt;=_TM2,OR(TH!L2138="1111",TH!M2138="1111")),TH!D2138,""),"")</f>
        <v/>
      </c>
      <c r="B2138" s="36">
        <f t="shared" si="124"/>
        <v>6</v>
      </c>
      <c r="C2138" s="37">
        <f t="shared" si="126"/>
        <v>41068</v>
      </c>
      <c r="D2138" s="191" t="s">
        <v>1730</v>
      </c>
      <c r="E2138" s="191">
        <v>41068</v>
      </c>
      <c r="F2138" s="192" t="s">
        <v>1394</v>
      </c>
      <c r="G2138" s="490" t="s">
        <v>1019</v>
      </c>
      <c r="H2138" s="7" t="s">
        <v>1700</v>
      </c>
      <c r="I2138" s="252">
        <v>60</v>
      </c>
      <c r="J2138" s="252">
        <v>19819</v>
      </c>
      <c r="K2138" s="38">
        <f t="shared" si="125"/>
        <v>1189140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>154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B2138" s="211"/>
    </row>
    <row r="2139" spans="1:28" ht="15.75" customHeight="1">
      <c r="A2139" s="204" t="str">
        <f>IF(B2139&lt;&gt;"",IF(AND(B2139&gt;=_TM1,B2139&lt;=_TM2,OR(TH!L2139="1111",TH!M2139="1111")),TH!D2139,""),"")</f>
        <v/>
      </c>
      <c r="B2139" s="36">
        <f t="shared" si="124"/>
        <v>6</v>
      </c>
      <c r="C2139" s="37">
        <f t="shared" si="126"/>
        <v>41069</v>
      </c>
      <c r="D2139" s="191" t="s">
        <v>1731</v>
      </c>
      <c r="E2139" s="191">
        <v>41069</v>
      </c>
      <c r="F2139" s="192" t="s">
        <v>1316</v>
      </c>
      <c r="G2139" s="490" t="s">
        <v>1020</v>
      </c>
      <c r="H2139" s="7" t="s">
        <v>1700</v>
      </c>
      <c r="I2139" s="252">
        <v>405</v>
      </c>
      <c r="J2139" s="252">
        <v>21119</v>
      </c>
      <c r="K2139" s="38">
        <f t="shared" si="125"/>
        <v>8553195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>154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B2139" s="211"/>
    </row>
    <row r="2140" spans="1:28" ht="15.75" customHeight="1">
      <c r="A2140" s="204" t="str">
        <f>IF(B2140&lt;&gt;"",IF(AND(B2140&gt;=_TM1,B2140&lt;=_TM2,OR(TH!L2140="1111",TH!M2140="1111")),TH!D2140,""),"")</f>
        <v/>
      </c>
      <c r="B2140" s="36">
        <f t="shared" si="124"/>
        <v>6</v>
      </c>
      <c r="C2140" s="37">
        <f t="shared" si="126"/>
        <v>41069</v>
      </c>
      <c r="D2140" s="191" t="s">
        <v>1731</v>
      </c>
      <c r="E2140" s="191">
        <v>41069</v>
      </c>
      <c r="F2140" s="192" t="s">
        <v>1439</v>
      </c>
      <c r="G2140" s="490" t="s">
        <v>1021</v>
      </c>
      <c r="H2140" s="7" t="s">
        <v>1700</v>
      </c>
      <c r="I2140" s="252">
        <v>292</v>
      </c>
      <c r="J2140" s="252">
        <v>20261</v>
      </c>
      <c r="K2140" s="38">
        <f t="shared" si="125"/>
        <v>5916212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>154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B2140" s="211"/>
    </row>
    <row r="2141" spans="1:28" ht="15.75" customHeight="1">
      <c r="A2141" s="204" t="str">
        <f>IF(B2141&lt;&gt;"",IF(AND(B2141&gt;=_TM1,B2141&lt;=_TM2,OR(TH!L2141="1111",TH!M2141="1111")),TH!D2141,""),"")</f>
        <v/>
      </c>
      <c r="B2141" s="36">
        <f t="shared" si="124"/>
        <v>6</v>
      </c>
      <c r="C2141" s="37">
        <f t="shared" si="126"/>
        <v>41080</v>
      </c>
      <c r="D2141" s="191" t="s">
        <v>1732</v>
      </c>
      <c r="E2141" s="191">
        <v>41080</v>
      </c>
      <c r="F2141" s="192" t="s">
        <v>1427</v>
      </c>
      <c r="G2141" s="490" t="s">
        <v>1023</v>
      </c>
      <c r="H2141" s="7" t="s">
        <v>1700</v>
      </c>
      <c r="I2141" s="252">
        <v>500</v>
      </c>
      <c r="J2141" s="252">
        <v>10752</v>
      </c>
      <c r="K2141" s="38">
        <f t="shared" si="125"/>
        <v>5376000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154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B2141" s="211"/>
    </row>
    <row r="2142" spans="1:28" ht="15.75" customHeight="1">
      <c r="A2142" s="204" t="str">
        <f>IF(B2142&lt;&gt;"",IF(AND(B2142&gt;=_TM1,B2142&lt;=_TM2,OR(TH!L2142="1111",TH!M2142="1111")),TH!D2142,""),"")</f>
        <v/>
      </c>
      <c r="B2142" s="36">
        <f t="shared" si="124"/>
        <v>6</v>
      </c>
      <c r="C2142" s="37">
        <f t="shared" si="126"/>
        <v>41083</v>
      </c>
      <c r="D2142" s="191" t="s">
        <v>1733</v>
      </c>
      <c r="E2142" s="191">
        <v>41083</v>
      </c>
      <c r="F2142" s="192" t="s">
        <v>1334</v>
      </c>
      <c r="G2142" s="490" t="s">
        <v>1024</v>
      </c>
      <c r="H2142" s="7" t="s">
        <v>1700</v>
      </c>
      <c r="I2142" s="252">
        <v>960</v>
      </c>
      <c r="J2142" s="252">
        <v>14403</v>
      </c>
      <c r="K2142" s="38">
        <f t="shared" si="125"/>
        <v>13826880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>154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B2142" s="211"/>
    </row>
    <row r="2143" spans="1:28" ht="15.75" customHeight="1">
      <c r="A2143" s="204" t="str">
        <f>IF(B2143&lt;&gt;"",IF(AND(B2143&gt;=_TM1,B2143&lt;=_TM2,OR(TH!L2143="1111",TH!M2143="1111")),TH!D2143,""),"")</f>
        <v/>
      </c>
      <c r="B2143" s="36">
        <f t="shared" si="124"/>
        <v>6</v>
      </c>
      <c r="C2143" s="37">
        <f t="shared" si="126"/>
        <v>41083</v>
      </c>
      <c r="D2143" s="191" t="s">
        <v>1733</v>
      </c>
      <c r="E2143" s="191">
        <v>41083</v>
      </c>
      <c r="F2143" s="192" t="s">
        <v>1385</v>
      </c>
      <c r="G2143" s="490" t="s">
        <v>1025</v>
      </c>
      <c r="H2143" s="7" t="s">
        <v>1700</v>
      </c>
      <c r="I2143" s="252">
        <v>505</v>
      </c>
      <c r="J2143" s="252">
        <v>9026.7307692307695</v>
      </c>
      <c r="K2143" s="38">
        <f>ROUND(I2143*J2143,0)-1</f>
        <v>4558498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>154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B2143" s="211"/>
    </row>
    <row r="2144" spans="1:28" ht="15.75" customHeight="1">
      <c r="A2144" s="204" t="str">
        <f>IF(B2144&lt;&gt;"",IF(AND(B2144&gt;=_TM1,B2144&lt;=_TM2,OR(TH!L2144="1111",TH!M2144="1111")),TH!D2144,""),"")</f>
        <v/>
      </c>
      <c r="B2144" s="36">
        <f t="shared" si="124"/>
        <v>6</v>
      </c>
      <c r="C2144" s="37">
        <f t="shared" si="126"/>
        <v>41083</v>
      </c>
      <c r="D2144" s="191" t="s">
        <v>1733</v>
      </c>
      <c r="E2144" s="191">
        <v>41083</v>
      </c>
      <c r="F2144" s="192" t="s">
        <v>1269</v>
      </c>
      <c r="G2144" s="490" t="s">
        <v>1025</v>
      </c>
      <c r="H2144" s="7" t="s">
        <v>1700</v>
      </c>
      <c r="I2144" s="252">
        <v>580</v>
      </c>
      <c r="J2144" s="252">
        <v>22846</v>
      </c>
      <c r="K2144" s="38">
        <f t="shared" si="125"/>
        <v>13250680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>154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B2144" s="211"/>
    </row>
    <row r="2145" spans="1:28" ht="15.75" customHeight="1">
      <c r="A2145" s="204" t="str">
        <f>IF(B2145&lt;&gt;"",IF(AND(B2145&gt;=_TM1,B2145&lt;=_TM2,OR(TH!L2145="1111",TH!M2145="1111")),TH!D2145,""),"")</f>
        <v/>
      </c>
      <c r="B2145" s="36">
        <f t="shared" si="124"/>
        <v>6</v>
      </c>
      <c r="C2145" s="37">
        <f t="shared" si="126"/>
        <v>41083</v>
      </c>
      <c r="D2145" s="191" t="s">
        <v>1733</v>
      </c>
      <c r="E2145" s="191">
        <v>41083</v>
      </c>
      <c r="F2145" s="192" t="s">
        <v>1283</v>
      </c>
      <c r="G2145" s="490" t="s">
        <v>1027</v>
      </c>
      <c r="H2145" s="7" t="s">
        <v>1700</v>
      </c>
      <c r="I2145" s="252">
        <v>203</v>
      </c>
      <c r="J2145" s="252">
        <v>11150</v>
      </c>
      <c r="K2145" s="38">
        <f t="shared" si="125"/>
        <v>2263450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>154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B2145" s="211"/>
    </row>
    <row r="2146" spans="1:28" ht="15.75" customHeight="1">
      <c r="A2146" s="204" t="str">
        <f>IF(B2146&lt;&gt;"",IF(AND(B2146&gt;=_TM1,B2146&lt;=_TM2,OR(TH!L2146="1111",TH!M2146="1111")),TH!D2146,""),"")</f>
        <v/>
      </c>
      <c r="B2146" s="36">
        <f t="shared" si="124"/>
        <v>6</v>
      </c>
      <c r="C2146" s="37">
        <f t="shared" si="126"/>
        <v>41083</v>
      </c>
      <c r="D2146" s="191" t="s">
        <v>1733</v>
      </c>
      <c r="E2146" s="191">
        <v>41083</v>
      </c>
      <c r="F2146" s="192" t="s">
        <v>1328</v>
      </c>
      <c r="G2146" s="490" t="s">
        <v>1027</v>
      </c>
      <c r="H2146" s="7" t="s">
        <v>1700</v>
      </c>
      <c r="I2146" s="252">
        <v>42</v>
      </c>
      <c r="J2146" s="252">
        <v>25149</v>
      </c>
      <c r="K2146" s="38">
        <f t="shared" si="125"/>
        <v>1056258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>154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B2146" s="211"/>
    </row>
    <row r="2147" spans="1:28" ht="15.75" customHeight="1">
      <c r="A2147" s="204" t="str">
        <f>IF(B2147&lt;&gt;"",IF(AND(B2147&gt;=_TM1,B2147&lt;=_TM2,OR(TH!L2147="1111",TH!M2147="1111")),TH!D2147,""),"")</f>
        <v/>
      </c>
      <c r="B2147" s="36">
        <f t="shared" si="124"/>
        <v>6</v>
      </c>
      <c r="C2147" s="37">
        <f t="shared" si="126"/>
        <v>41083</v>
      </c>
      <c r="D2147" s="191" t="s">
        <v>1733</v>
      </c>
      <c r="E2147" s="191">
        <v>41083</v>
      </c>
      <c r="F2147" s="192" t="s">
        <v>787</v>
      </c>
      <c r="G2147" s="490" t="s">
        <v>1027</v>
      </c>
      <c r="H2147" s="7" t="s">
        <v>1700</v>
      </c>
      <c r="I2147" s="252">
        <v>227</v>
      </c>
      <c r="J2147" s="252">
        <v>14469.12</v>
      </c>
      <c r="K2147" s="38">
        <f t="shared" si="125"/>
        <v>3284490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>154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B2147" s="211"/>
    </row>
    <row r="2148" spans="1:28" ht="15.75" customHeight="1">
      <c r="A2148" s="204" t="str">
        <f>IF(B2148&lt;&gt;"",IF(AND(B2148&gt;=_TM1,B2148&lt;=_TM2,OR(TH!L2148="1111",TH!M2148="1111")),TH!D2148,""),"")</f>
        <v/>
      </c>
      <c r="B2148" s="36">
        <f t="shared" si="124"/>
        <v>6</v>
      </c>
      <c r="C2148" s="37">
        <f t="shared" si="126"/>
        <v>41083</v>
      </c>
      <c r="D2148" s="191" t="s">
        <v>1733</v>
      </c>
      <c r="E2148" s="191">
        <v>41083</v>
      </c>
      <c r="F2148" s="192" t="s">
        <v>1447</v>
      </c>
      <c r="G2148" s="490" t="s">
        <v>1027</v>
      </c>
      <c r="H2148" s="7" t="s">
        <v>1700</v>
      </c>
      <c r="I2148" s="252">
        <v>90</v>
      </c>
      <c r="J2148" s="252">
        <v>16748</v>
      </c>
      <c r="K2148" s="38">
        <f t="shared" si="125"/>
        <v>1507320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>154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B2148" s="211"/>
    </row>
    <row r="2149" spans="1:28" ht="15.75" customHeight="1">
      <c r="A2149" s="204" t="str">
        <f>IF(B2149&lt;&gt;"",IF(AND(B2149&gt;=_TM1,B2149&lt;=_TM2,OR(TH!L2149="1111",TH!M2149="1111")),TH!D2149,""),"")</f>
        <v/>
      </c>
      <c r="B2149" s="36">
        <f t="shared" si="124"/>
        <v>6</v>
      </c>
      <c r="C2149" s="37">
        <f t="shared" si="126"/>
        <v>41083</v>
      </c>
      <c r="D2149" s="191" t="s">
        <v>1733</v>
      </c>
      <c r="E2149" s="191">
        <v>41083</v>
      </c>
      <c r="F2149" s="192" t="s">
        <v>1329</v>
      </c>
      <c r="G2149" s="490" t="s">
        <v>1027</v>
      </c>
      <c r="H2149" s="7" t="s">
        <v>1700</v>
      </c>
      <c r="I2149" s="252">
        <v>195</v>
      </c>
      <c r="J2149" s="252">
        <v>23028</v>
      </c>
      <c r="K2149" s="38">
        <f t="shared" si="125"/>
        <v>4490460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>154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B2149" s="211"/>
    </row>
    <row r="2150" spans="1:28" ht="15.75" customHeight="1">
      <c r="A2150" s="204" t="str">
        <f>IF(B2150&lt;&gt;"",IF(AND(B2150&gt;=_TM1,B2150&lt;=_TM2,OR(TH!L2150="1111",TH!M2150="1111")),TH!D2150,""),"")</f>
        <v/>
      </c>
      <c r="B2150" s="36">
        <f t="shared" si="124"/>
        <v>6</v>
      </c>
      <c r="C2150" s="37">
        <f t="shared" si="126"/>
        <v>41083</v>
      </c>
      <c r="D2150" s="191" t="s">
        <v>1733</v>
      </c>
      <c r="E2150" s="191">
        <v>41083</v>
      </c>
      <c r="F2150" s="192" t="s">
        <v>1289</v>
      </c>
      <c r="G2150" s="490" t="s">
        <v>1027</v>
      </c>
      <c r="H2150" s="7" t="s">
        <v>1700</v>
      </c>
      <c r="I2150" s="252">
        <v>250</v>
      </c>
      <c r="J2150" s="252">
        <v>23149</v>
      </c>
      <c r="K2150" s="38">
        <f t="shared" si="125"/>
        <v>5787250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>154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B2150" s="211"/>
    </row>
    <row r="2151" spans="1:28" ht="15.75" customHeight="1">
      <c r="A2151" s="204" t="str">
        <f>IF(B2151&lt;&gt;"",IF(AND(B2151&gt;=_TM1,B2151&lt;=_TM2,OR(TH!L2151="1111",TH!M2151="1111")),TH!D2151,""),"")</f>
        <v/>
      </c>
      <c r="B2151" s="36">
        <f t="shared" si="124"/>
        <v>6</v>
      </c>
      <c r="C2151" s="37">
        <f t="shared" si="126"/>
        <v>41083</v>
      </c>
      <c r="D2151" s="191" t="s">
        <v>1733</v>
      </c>
      <c r="E2151" s="191">
        <v>41083</v>
      </c>
      <c r="F2151" s="192" t="s">
        <v>1385</v>
      </c>
      <c r="G2151" s="490" t="s">
        <v>1027</v>
      </c>
      <c r="H2151" s="7" t="s">
        <v>1700</v>
      </c>
      <c r="I2151" s="252">
        <v>1</v>
      </c>
      <c r="J2151" s="252">
        <v>9026.7307692307695</v>
      </c>
      <c r="K2151" s="38">
        <f t="shared" si="125"/>
        <v>9027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>154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B2151" s="211"/>
    </row>
    <row r="2152" spans="1:28" ht="15.75" customHeight="1">
      <c r="A2152" s="204" t="str">
        <f>IF(B2152&lt;&gt;"",IF(AND(B2152&gt;=_TM1,B2152&lt;=_TM2,OR(TH!L2152="1111",TH!M2152="1111")),TH!D2152,""),"")</f>
        <v/>
      </c>
      <c r="B2152" s="36">
        <f t="shared" si="124"/>
        <v>6</v>
      </c>
      <c r="C2152" s="37">
        <f t="shared" si="126"/>
        <v>41083</v>
      </c>
      <c r="D2152" s="191" t="s">
        <v>1733</v>
      </c>
      <c r="E2152" s="191">
        <v>41083</v>
      </c>
      <c r="F2152" s="192" t="s">
        <v>1413</v>
      </c>
      <c r="G2152" s="490" t="s">
        <v>1027</v>
      </c>
      <c r="H2152" s="7" t="s">
        <v>1700</v>
      </c>
      <c r="I2152" s="252">
        <v>260</v>
      </c>
      <c r="J2152" s="252">
        <v>17722</v>
      </c>
      <c r="K2152" s="38">
        <f t="shared" si="125"/>
        <v>4607720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>154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B2152" s="211"/>
    </row>
    <row r="2153" spans="1:28" ht="15.75" customHeight="1">
      <c r="A2153" s="204" t="str">
        <f>IF(B2153&lt;&gt;"",IF(AND(B2153&gt;=_TM1,B2153&lt;=_TM2,OR(TH!L2153="1111",TH!M2153="1111")),TH!D2153,""),"")</f>
        <v/>
      </c>
      <c r="B2153" s="36">
        <f t="shared" si="124"/>
        <v>6</v>
      </c>
      <c r="C2153" s="37">
        <f t="shared" si="126"/>
        <v>41083</v>
      </c>
      <c r="D2153" s="191" t="s">
        <v>1733</v>
      </c>
      <c r="E2153" s="191">
        <v>41083</v>
      </c>
      <c r="F2153" s="192" t="s">
        <v>791</v>
      </c>
      <c r="G2153" s="490" t="s">
        <v>1027</v>
      </c>
      <c r="H2153" s="7" t="s">
        <v>1700</v>
      </c>
      <c r="I2153" s="252">
        <v>257</v>
      </c>
      <c r="J2153" s="252">
        <v>10448.9</v>
      </c>
      <c r="K2153" s="38">
        <f t="shared" si="125"/>
        <v>2685367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>154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B2153" s="211"/>
    </row>
    <row r="2154" spans="1:28" ht="15.75" customHeight="1">
      <c r="A2154" s="204" t="str">
        <f>IF(B2154&lt;&gt;"",IF(AND(B2154&gt;=_TM1,B2154&lt;=_TM2,OR(TH!L2154="1111",TH!M2154="1111")),TH!D2154,""),"")</f>
        <v/>
      </c>
      <c r="B2154" s="36">
        <f t="shared" si="124"/>
        <v>6</v>
      </c>
      <c r="C2154" s="37">
        <f t="shared" si="126"/>
        <v>41083</v>
      </c>
      <c r="D2154" s="191" t="s">
        <v>1733</v>
      </c>
      <c r="E2154" s="191">
        <v>41083</v>
      </c>
      <c r="F2154" s="192" t="s">
        <v>1371</v>
      </c>
      <c r="G2154" s="490" t="s">
        <v>1027</v>
      </c>
      <c r="H2154" s="7" t="s">
        <v>1700</v>
      </c>
      <c r="I2154" s="252">
        <v>355</v>
      </c>
      <c r="J2154" s="252">
        <v>19937.945495836488</v>
      </c>
      <c r="K2154" s="38">
        <f t="shared" si="125"/>
        <v>7077971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>154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B2154" s="211"/>
    </row>
    <row r="2155" spans="1:28" ht="15.75" customHeight="1">
      <c r="A2155" s="204" t="str">
        <f>IF(B2155&lt;&gt;"",IF(AND(B2155&gt;=_TM1,B2155&lt;=_TM2,OR(TH!L2155="1111",TH!M2155="1111")),TH!D2155,""),"")</f>
        <v/>
      </c>
      <c r="B2155" s="36">
        <f t="shared" si="124"/>
        <v>6</v>
      </c>
      <c r="C2155" s="37">
        <f t="shared" si="126"/>
        <v>41087</v>
      </c>
      <c r="D2155" s="191" t="s">
        <v>1734</v>
      </c>
      <c r="E2155" s="191">
        <v>41087</v>
      </c>
      <c r="F2155" s="192" t="s">
        <v>1429</v>
      </c>
      <c r="G2155" s="490" t="s">
        <v>1028</v>
      </c>
      <c r="H2155" s="7" t="s">
        <v>1700</v>
      </c>
      <c r="I2155" s="252">
        <v>250</v>
      </c>
      <c r="J2155" s="252">
        <v>12211</v>
      </c>
      <c r="K2155" s="38">
        <f t="shared" si="125"/>
        <v>3052750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>154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B2155" s="211"/>
    </row>
    <row r="2156" spans="1:28" ht="15.75" customHeight="1">
      <c r="A2156" s="204" t="str">
        <f>IF(B2156&lt;&gt;"",IF(AND(B2156&gt;=_TM1,B2156&lt;=_TM2,OR(TH!L2156="1111",TH!M2156="1111")),TH!D2156,""),"")</f>
        <v/>
      </c>
      <c r="B2156" s="36">
        <f t="shared" si="124"/>
        <v>6</v>
      </c>
      <c r="C2156" s="37">
        <f t="shared" si="126"/>
        <v>41087</v>
      </c>
      <c r="D2156" s="191" t="s">
        <v>1734</v>
      </c>
      <c r="E2156" s="191">
        <v>41087</v>
      </c>
      <c r="F2156" s="192" t="s">
        <v>1435</v>
      </c>
      <c r="G2156" s="490" t="s">
        <v>1028</v>
      </c>
      <c r="H2156" s="7" t="s">
        <v>1700</v>
      </c>
      <c r="I2156" s="252">
        <v>300</v>
      </c>
      <c r="J2156" s="252">
        <v>20341</v>
      </c>
      <c r="K2156" s="38">
        <f t="shared" si="125"/>
        <v>6102300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>154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B2156" s="211"/>
    </row>
    <row r="2157" spans="1:28" ht="15.75" customHeight="1">
      <c r="A2157" s="204" t="str">
        <f>IF(B2157&lt;&gt;"",IF(AND(B2157&gt;=_TM1,B2157&lt;=_TM2,OR(TH!L2157="1111",TH!M2157="1111")),TH!D2157,""),"")</f>
        <v/>
      </c>
      <c r="B2157" s="36">
        <f t="shared" si="124"/>
        <v>6</v>
      </c>
      <c r="C2157" s="37">
        <f t="shared" si="126"/>
        <v>41087</v>
      </c>
      <c r="D2157" s="191" t="s">
        <v>1734</v>
      </c>
      <c r="E2157" s="191">
        <v>41087</v>
      </c>
      <c r="F2157" s="192" t="s">
        <v>749</v>
      </c>
      <c r="G2157" s="490" t="s">
        <v>1028</v>
      </c>
      <c r="H2157" s="7" t="s">
        <v>1700</v>
      </c>
      <c r="I2157" s="252">
        <v>500</v>
      </c>
      <c r="J2157" s="252">
        <v>13487.1</v>
      </c>
      <c r="K2157" s="38">
        <f t="shared" si="125"/>
        <v>6743550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154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B2157" s="211"/>
    </row>
    <row r="2158" spans="1:28" ht="15.75" customHeight="1">
      <c r="A2158" s="204" t="str">
        <f>IF(B2158&lt;&gt;"",IF(AND(B2158&gt;=_TM1,B2158&lt;=_TM2,OR(TH!L2158="1111",TH!M2158="1111")),TH!D2158,""),"")</f>
        <v/>
      </c>
      <c r="B2158" s="36">
        <f t="shared" si="124"/>
        <v>6</v>
      </c>
      <c r="C2158" s="37">
        <f t="shared" si="126"/>
        <v>41087</v>
      </c>
      <c r="D2158" s="191" t="s">
        <v>1734</v>
      </c>
      <c r="E2158" s="191">
        <v>41087</v>
      </c>
      <c r="F2158" s="192" t="s">
        <v>758</v>
      </c>
      <c r="G2158" s="490" t="s">
        <v>1028</v>
      </c>
      <c r="H2158" s="7" t="s">
        <v>1700</v>
      </c>
      <c r="I2158" s="252">
        <v>230</v>
      </c>
      <c r="J2158" s="252">
        <v>12066</v>
      </c>
      <c r="K2158" s="38">
        <f t="shared" si="125"/>
        <v>2775180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>154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B2158" s="211"/>
    </row>
    <row r="2159" spans="1:28" ht="15.75" customHeight="1">
      <c r="A2159" s="204" t="str">
        <f>IF(B2159&lt;&gt;"",IF(AND(B2159&gt;=_TM1,B2159&lt;=_TM2,OR(TH!L2159="1111",TH!M2159="1111")),TH!D2159,""),"")</f>
        <v/>
      </c>
      <c r="B2159" s="36">
        <f t="shared" si="124"/>
        <v>6</v>
      </c>
      <c r="C2159" s="37">
        <f t="shared" si="126"/>
        <v>41087</v>
      </c>
      <c r="D2159" s="191" t="s">
        <v>1734</v>
      </c>
      <c r="E2159" s="191">
        <v>41087</v>
      </c>
      <c r="F2159" s="192" t="s">
        <v>1277</v>
      </c>
      <c r="G2159" s="490" t="s">
        <v>1028</v>
      </c>
      <c r="H2159" s="7" t="s">
        <v>1700</v>
      </c>
      <c r="I2159" s="252">
        <v>240</v>
      </c>
      <c r="J2159" s="252">
        <v>17072</v>
      </c>
      <c r="K2159" s="38">
        <f t="shared" si="125"/>
        <v>4097280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>154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B2159" s="211"/>
    </row>
    <row r="2160" spans="1:28" ht="15.75" customHeight="1">
      <c r="A2160" s="204" t="str">
        <f>IF(B2160&lt;&gt;"",IF(AND(B2160&gt;=_TM1,B2160&lt;=_TM2,OR(TH!L2160="1111",TH!M2160="1111")),TH!D2160,""),"")</f>
        <v/>
      </c>
      <c r="B2160" s="36">
        <f t="shared" si="124"/>
        <v>6</v>
      </c>
      <c r="C2160" s="37">
        <f t="shared" si="126"/>
        <v>41087</v>
      </c>
      <c r="D2160" s="191" t="s">
        <v>1734</v>
      </c>
      <c r="E2160" s="191">
        <v>41087</v>
      </c>
      <c r="F2160" s="192" t="s">
        <v>755</v>
      </c>
      <c r="G2160" s="490" t="s">
        <v>1028</v>
      </c>
      <c r="H2160" s="7" t="s">
        <v>1700</v>
      </c>
      <c r="I2160" s="252">
        <v>597</v>
      </c>
      <c r="J2160" s="252">
        <v>8930</v>
      </c>
      <c r="K2160" s="38">
        <f t="shared" si="125"/>
        <v>5331210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>154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B2160" s="211"/>
    </row>
    <row r="2161" spans="1:28" ht="15.75" customHeight="1">
      <c r="A2161" s="204" t="str">
        <f>IF(B2161&lt;&gt;"",IF(AND(B2161&gt;=_TM1,B2161&lt;=_TM2,OR(TH!L2161="1111",TH!M2161="1111")),TH!D2161,""),"")</f>
        <v/>
      </c>
      <c r="B2161" s="36">
        <f t="shared" si="124"/>
        <v>6</v>
      </c>
      <c r="C2161" s="37">
        <f t="shared" si="126"/>
        <v>41087</v>
      </c>
      <c r="D2161" s="191" t="s">
        <v>1734</v>
      </c>
      <c r="E2161" s="191">
        <v>41087</v>
      </c>
      <c r="F2161" s="192" t="s">
        <v>1397</v>
      </c>
      <c r="G2161" s="490" t="s">
        <v>1028</v>
      </c>
      <c r="H2161" s="7" t="s">
        <v>1700</v>
      </c>
      <c r="I2161" s="252">
        <v>50</v>
      </c>
      <c r="J2161" s="252">
        <v>23155</v>
      </c>
      <c r="K2161" s="38">
        <f t="shared" si="125"/>
        <v>1157750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>154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B2161" s="211"/>
    </row>
    <row r="2162" spans="1:28" ht="15.75" customHeight="1">
      <c r="A2162" s="204" t="str">
        <f>IF(B2162&lt;&gt;"",IF(AND(B2162&gt;=_TM1,B2162&lt;=_TM2,OR(TH!L2162="1111",TH!M2162="1111")),TH!D2162,""),"")</f>
        <v/>
      </c>
      <c r="B2162" s="36">
        <f t="shared" si="124"/>
        <v>6</v>
      </c>
      <c r="C2162" s="37">
        <f t="shared" si="126"/>
        <v>41087</v>
      </c>
      <c r="D2162" s="191" t="s">
        <v>1734</v>
      </c>
      <c r="E2162" s="191">
        <v>41087</v>
      </c>
      <c r="F2162" s="192" t="s">
        <v>1421</v>
      </c>
      <c r="G2162" s="490" t="s">
        <v>1028</v>
      </c>
      <c r="H2162" s="7" t="s">
        <v>1700</v>
      </c>
      <c r="I2162" s="252">
        <v>136</v>
      </c>
      <c r="J2162" s="252">
        <v>14602.666666666666</v>
      </c>
      <c r="K2162" s="38">
        <f t="shared" si="125"/>
        <v>1985963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>154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B2162" s="211"/>
    </row>
    <row r="2163" spans="1:28" ht="15.75" customHeight="1">
      <c r="A2163" s="204" t="str">
        <f>IF(B2163&lt;&gt;"",IF(AND(B2163&gt;=_TM1,B2163&lt;=_TM2,OR(TH!L2163="1111",TH!M2163="1111")),TH!D2163,""),"")</f>
        <v/>
      </c>
      <c r="B2163" s="36">
        <f t="shared" si="124"/>
        <v>6</v>
      </c>
      <c r="C2163" s="37">
        <f t="shared" si="126"/>
        <v>41087</v>
      </c>
      <c r="D2163" s="191" t="s">
        <v>1734</v>
      </c>
      <c r="E2163" s="191">
        <v>41087</v>
      </c>
      <c r="F2163" s="192" t="s">
        <v>1299</v>
      </c>
      <c r="G2163" s="490" t="s">
        <v>1028</v>
      </c>
      <c r="H2163" s="7" t="s">
        <v>1700</v>
      </c>
      <c r="I2163" s="252">
        <v>245</v>
      </c>
      <c r="J2163" s="252">
        <v>10775</v>
      </c>
      <c r="K2163" s="38">
        <f t="shared" si="125"/>
        <v>2639875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>154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B2163" s="211"/>
    </row>
    <row r="2164" spans="1:28" ht="15.75" customHeight="1">
      <c r="A2164" s="204" t="str">
        <f>IF(B2164&lt;&gt;"",IF(AND(B2164&gt;=_TM1,B2164&lt;=_TM2,OR(TH!L2164="1111",TH!M2164="1111")),TH!D2164,""),"")</f>
        <v/>
      </c>
      <c r="B2164" s="36">
        <f t="shared" si="124"/>
        <v>6</v>
      </c>
      <c r="C2164" s="37">
        <f t="shared" si="126"/>
        <v>41087</v>
      </c>
      <c r="D2164" s="191" t="s">
        <v>1734</v>
      </c>
      <c r="E2164" s="191">
        <v>41087</v>
      </c>
      <c r="F2164" s="192" t="s">
        <v>1299</v>
      </c>
      <c r="G2164" s="490" t="s">
        <v>1028</v>
      </c>
      <c r="H2164" s="7" t="s">
        <v>1700</v>
      </c>
      <c r="I2164" s="252">
        <v>540</v>
      </c>
      <c r="J2164" s="252">
        <v>10775</v>
      </c>
      <c r="K2164" s="38">
        <f t="shared" si="125"/>
        <v>5818500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>154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B2164" s="211"/>
    </row>
    <row r="2165" spans="1:28" ht="15.75" customHeight="1">
      <c r="A2165" s="204" t="str">
        <f>IF(B2165&lt;&gt;"",IF(AND(B2165&gt;=_TM1,B2165&lt;=_TM2,OR(TH!L2165="1111",TH!M2165="1111")),TH!D2165,""),"")</f>
        <v/>
      </c>
      <c r="B2165" s="36">
        <f t="shared" si="124"/>
        <v>6</v>
      </c>
      <c r="C2165" s="37">
        <f t="shared" si="126"/>
        <v>41087</v>
      </c>
      <c r="D2165" s="191" t="s">
        <v>1734</v>
      </c>
      <c r="E2165" s="191">
        <v>41087</v>
      </c>
      <c r="F2165" s="192" t="s">
        <v>1428</v>
      </c>
      <c r="G2165" s="490" t="s">
        <v>1028</v>
      </c>
      <c r="H2165" s="7" t="s">
        <v>1700</v>
      </c>
      <c r="I2165" s="252">
        <v>300</v>
      </c>
      <c r="J2165" s="252">
        <v>14553</v>
      </c>
      <c r="K2165" s="38">
        <f t="shared" si="125"/>
        <v>4365900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>154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B2165" s="211"/>
    </row>
    <row r="2166" spans="1:28" ht="15.75" customHeight="1">
      <c r="A2166" s="204" t="str">
        <f>IF(B2166&lt;&gt;"",IF(AND(B2166&gt;=_TM1,B2166&lt;=_TM2,OR(TH!L2166="1111",TH!M2166="1111")),TH!D2166,""),"")</f>
        <v/>
      </c>
      <c r="B2166" s="36">
        <f t="shared" si="124"/>
        <v>6</v>
      </c>
      <c r="C2166" s="37">
        <f t="shared" si="126"/>
        <v>41087</v>
      </c>
      <c r="D2166" s="191" t="s">
        <v>1734</v>
      </c>
      <c r="E2166" s="191">
        <v>41087</v>
      </c>
      <c r="F2166" s="192" t="s">
        <v>1317</v>
      </c>
      <c r="G2166" s="490" t="s">
        <v>1028</v>
      </c>
      <c r="H2166" s="7" t="s">
        <v>1700</v>
      </c>
      <c r="I2166" s="252">
        <v>260</v>
      </c>
      <c r="J2166" s="252">
        <v>11817</v>
      </c>
      <c r="K2166" s="38">
        <f t="shared" si="125"/>
        <v>3072420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>154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B2166" s="211"/>
    </row>
    <row r="2167" spans="1:28" ht="15.75" customHeight="1">
      <c r="A2167" s="204" t="str">
        <f>IF(B2167&lt;&gt;"",IF(AND(B2167&gt;=_TM1,B2167&lt;=_TM2,OR(TH!L2167="1111",TH!M2167="1111")),TH!D2167,""),"")</f>
        <v/>
      </c>
      <c r="B2167" s="36">
        <f t="shared" si="124"/>
        <v>6</v>
      </c>
      <c r="C2167" s="37">
        <f t="shared" si="126"/>
        <v>41087</v>
      </c>
      <c r="D2167" s="191" t="s">
        <v>1734</v>
      </c>
      <c r="E2167" s="191">
        <v>41087</v>
      </c>
      <c r="F2167" s="192" t="s">
        <v>1288</v>
      </c>
      <c r="G2167" s="490" t="s">
        <v>1028</v>
      </c>
      <c r="H2167" s="7" t="s">
        <v>1700</v>
      </c>
      <c r="I2167" s="252">
        <v>170</v>
      </c>
      <c r="J2167" s="252">
        <v>11995.444444444445</v>
      </c>
      <c r="K2167" s="38">
        <f t="shared" si="125"/>
        <v>2039226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>154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B2167" s="211"/>
    </row>
    <row r="2168" spans="1:28" ht="15.75" customHeight="1">
      <c r="A2168" s="204" t="str">
        <f>IF(B2168&lt;&gt;"",IF(AND(B2168&gt;=_TM1,B2168&lt;=_TM2,OR(TH!L2168="1111",TH!M2168="1111")),TH!D2168,""),"")</f>
        <v/>
      </c>
      <c r="B2168" s="36">
        <f t="shared" si="124"/>
        <v>6</v>
      </c>
      <c r="C2168" s="37">
        <f t="shared" si="126"/>
        <v>41087</v>
      </c>
      <c r="D2168" s="191" t="s">
        <v>1734</v>
      </c>
      <c r="E2168" s="191">
        <v>41087</v>
      </c>
      <c r="F2168" s="192" t="s">
        <v>1299</v>
      </c>
      <c r="G2168" s="490" t="s">
        <v>1028</v>
      </c>
      <c r="H2168" s="7" t="s">
        <v>1700</v>
      </c>
      <c r="I2168" s="252">
        <v>250</v>
      </c>
      <c r="J2168" s="252">
        <v>10775</v>
      </c>
      <c r="K2168" s="38">
        <f t="shared" si="125"/>
        <v>2693750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>154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B2168" s="211"/>
    </row>
    <row r="2169" spans="1:28" ht="15.75" customHeight="1">
      <c r="A2169" s="204" t="str">
        <f>IF(B2169&lt;&gt;"",IF(AND(B2169&gt;=_TM1,B2169&lt;=_TM2,OR(TH!L2169="1111",TH!M2169="1111")),TH!D2169,""),"")</f>
        <v/>
      </c>
      <c r="B2169" s="36">
        <f t="shared" si="124"/>
        <v>6</v>
      </c>
      <c r="C2169" s="37">
        <f t="shared" si="126"/>
        <v>41087</v>
      </c>
      <c r="D2169" s="191" t="s">
        <v>1734</v>
      </c>
      <c r="E2169" s="191">
        <v>41087</v>
      </c>
      <c r="F2169" s="192" t="s">
        <v>1409</v>
      </c>
      <c r="G2169" s="490" t="s">
        <v>1028</v>
      </c>
      <c r="H2169" s="7" t="s">
        <v>1700</v>
      </c>
      <c r="I2169" s="252">
        <v>250</v>
      </c>
      <c r="J2169" s="252">
        <v>8505</v>
      </c>
      <c r="K2169" s="38">
        <f t="shared" si="125"/>
        <v>2126250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>154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B2169" s="211"/>
    </row>
    <row r="2170" spans="1:28" ht="15.75" customHeight="1">
      <c r="A2170" s="204" t="str">
        <f>IF(B2170&lt;&gt;"",IF(AND(B2170&gt;=_TM1,B2170&lt;=_TM2,OR(TH!L2170="1111",TH!M2170="1111")),TH!D2170,""),"")</f>
        <v/>
      </c>
      <c r="B2170" s="36">
        <f t="shared" si="124"/>
        <v>6</v>
      </c>
      <c r="C2170" s="37">
        <f t="shared" si="126"/>
        <v>41087</v>
      </c>
      <c r="D2170" s="191" t="s">
        <v>1734</v>
      </c>
      <c r="E2170" s="191">
        <v>41087</v>
      </c>
      <c r="F2170" s="192" t="s">
        <v>1408</v>
      </c>
      <c r="G2170" s="490" t="s">
        <v>1028</v>
      </c>
      <c r="H2170" s="7" t="s">
        <v>1700</v>
      </c>
      <c r="I2170" s="252">
        <v>182</v>
      </c>
      <c r="J2170" s="252">
        <v>9286</v>
      </c>
      <c r="K2170" s="38">
        <f t="shared" si="125"/>
        <v>1690052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>154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B2170" s="211"/>
    </row>
    <row r="2171" spans="1:28" s="894" customFormat="1" ht="15.75" customHeight="1">
      <c r="A2171" s="204" t="str">
        <f>IF(B2171&lt;&gt;"",IF(AND(B2171&gt;=_TM1,B2171&lt;=_TM2,OR(TH!L2171="1111",TH!M2171="1111")),TH!D2171,""),"")</f>
        <v/>
      </c>
      <c r="B2171" s="885">
        <f t="shared" ref="B2171:B2216" si="127">IF(C2171&lt;&gt;"",MONTH(C2171),"")</f>
        <v>6</v>
      </c>
      <c r="C2171" s="911">
        <f t="shared" si="126"/>
        <v>41089</v>
      </c>
      <c r="D2171" s="886" t="s">
        <v>1735</v>
      </c>
      <c r="E2171" s="886">
        <v>41089</v>
      </c>
      <c r="F2171" s="887" t="s">
        <v>750</v>
      </c>
      <c r="G2171" s="888" t="s">
        <v>1029</v>
      </c>
      <c r="H2171" s="914" t="s">
        <v>1700</v>
      </c>
      <c r="I2171" s="890">
        <v>500</v>
      </c>
      <c r="J2171" s="890">
        <v>6220.8</v>
      </c>
      <c r="K2171" s="891">
        <f t="shared" si="125"/>
        <v>3110400</v>
      </c>
      <c r="L2171" s="912" t="s">
        <v>175</v>
      </c>
      <c r="M2171" s="912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>154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</row>
    <row r="2172" spans="1:28" ht="15.75" customHeight="1">
      <c r="A2172" s="204" t="str">
        <f>IF(B2172&lt;&gt;"",IF(AND(B2172&gt;=_TM1,B2172&lt;=_TM2,OR(TH!L2172="1111",TH!M2172="1111")),TH!D2172,""),"")</f>
        <v/>
      </c>
      <c r="B2172" s="36">
        <f t="shared" si="127"/>
        <v>6</v>
      </c>
      <c r="C2172" s="37">
        <f t="shared" si="126"/>
        <v>41090</v>
      </c>
      <c r="D2172" s="191" t="s">
        <v>1736</v>
      </c>
      <c r="E2172" s="191">
        <v>41090</v>
      </c>
      <c r="F2172" s="192" t="s">
        <v>790</v>
      </c>
      <c r="G2172" s="490" t="s">
        <v>1030</v>
      </c>
      <c r="H2172" s="7" t="s">
        <v>1700</v>
      </c>
      <c r="I2172" s="252">
        <v>150</v>
      </c>
      <c r="J2172" s="252">
        <v>11904</v>
      </c>
      <c r="K2172" s="38">
        <f t="shared" si="125"/>
        <v>1785600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>154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B2172" s="211"/>
    </row>
    <row r="2173" spans="1:28" ht="15.75" customHeight="1">
      <c r="A2173" s="204" t="str">
        <f>IF(B2173&lt;&gt;"",IF(AND(B2173&gt;=_TM1,B2173&lt;=_TM2,OR(TH!L2173="1111",TH!M2173="1111")),TH!D2173,""),"")</f>
        <v/>
      </c>
      <c r="B2173" s="36">
        <f t="shared" si="127"/>
        <v>7</v>
      </c>
      <c r="C2173" s="37">
        <f t="shared" si="126"/>
        <v>41092</v>
      </c>
      <c r="D2173" s="191" t="s">
        <v>1707</v>
      </c>
      <c r="E2173" s="191">
        <v>41092</v>
      </c>
      <c r="F2173" s="192" t="s">
        <v>1269</v>
      </c>
      <c r="G2173" s="490" t="s">
        <v>1031</v>
      </c>
      <c r="H2173" s="7" t="s">
        <v>1700</v>
      </c>
      <c r="I2173" s="252">
        <v>110</v>
      </c>
      <c r="J2173" s="252">
        <v>22846</v>
      </c>
      <c r="K2173" s="38">
        <f t="shared" si="125"/>
        <v>2513060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customHeight="1">
      <c r="A2174" s="204" t="str">
        <f>IF(B2174&lt;&gt;"",IF(AND(B2174&gt;=_TM1,B2174&lt;=_TM2,OR(TH!L2174="1111",TH!M2174="1111")),TH!D2174,""),"")</f>
        <v/>
      </c>
      <c r="B2174" s="36">
        <f t="shared" si="127"/>
        <v>7</v>
      </c>
      <c r="C2174" s="37">
        <f t="shared" si="126"/>
        <v>41092</v>
      </c>
      <c r="D2174" s="191" t="s">
        <v>1707</v>
      </c>
      <c r="E2174" s="191">
        <v>41092</v>
      </c>
      <c r="F2174" s="192" t="s">
        <v>1315</v>
      </c>
      <c r="G2174" s="490" t="s">
        <v>1032</v>
      </c>
      <c r="H2174" s="7" t="s">
        <v>1700</v>
      </c>
      <c r="I2174" s="252">
        <v>250</v>
      </c>
      <c r="J2174" s="252">
        <v>15377</v>
      </c>
      <c r="K2174" s="38">
        <f t="shared" si="125"/>
        <v>3844250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customHeight="1">
      <c r="A2175" s="204" t="str">
        <f>IF(B2175&lt;&gt;"",IF(AND(B2175&gt;=_TM1,B2175&lt;=_TM2,OR(TH!L2175="1111",TH!M2175="1111")),TH!D2175,""),"")</f>
        <v/>
      </c>
      <c r="B2175" s="36">
        <f t="shared" si="127"/>
        <v>7</v>
      </c>
      <c r="C2175" s="37">
        <f t="shared" si="126"/>
        <v>41092</v>
      </c>
      <c r="D2175" s="191" t="s">
        <v>1707</v>
      </c>
      <c r="E2175" s="191">
        <v>41092</v>
      </c>
      <c r="F2175" s="192" t="s">
        <v>1414</v>
      </c>
      <c r="G2175" s="490" t="s">
        <v>1034</v>
      </c>
      <c r="H2175" s="7" t="s">
        <v>1700</v>
      </c>
      <c r="I2175" s="252">
        <v>360</v>
      </c>
      <c r="J2175" s="252">
        <v>7510</v>
      </c>
      <c r="K2175" s="38">
        <f t="shared" si="125"/>
        <v>2703600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customHeight="1">
      <c r="A2176" s="204" t="str">
        <f>IF(B2176&lt;&gt;"",IF(AND(B2176&gt;=_TM1,B2176&lt;=_TM2,OR(TH!L2176="1111",TH!M2176="1111")),TH!D2176,""),"")</f>
        <v/>
      </c>
      <c r="B2176" s="36">
        <f t="shared" si="127"/>
        <v>7</v>
      </c>
      <c r="C2176" s="37">
        <f t="shared" si="126"/>
        <v>41092</v>
      </c>
      <c r="D2176" s="191" t="s">
        <v>1707</v>
      </c>
      <c r="E2176" s="191">
        <v>41092</v>
      </c>
      <c r="F2176" s="192" t="s">
        <v>1332</v>
      </c>
      <c r="G2176" s="490" t="s">
        <v>1034</v>
      </c>
      <c r="H2176" s="7" t="s">
        <v>1700</v>
      </c>
      <c r="I2176" s="252">
        <v>75</v>
      </c>
      <c r="J2176" s="252">
        <v>20579</v>
      </c>
      <c r="K2176" s="38">
        <f t="shared" si="125"/>
        <v>1543425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customHeight="1">
      <c r="A2177" s="204" t="str">
        <f>IF(B2177&lt;&gt;"",IF(AND(B2177&gt;=_TM1,B2177&lt;=_TM2,OR(TH!L2177="1111",TH!M2177="1111")),TH!D2177,""),"")</f>
        <v/>
      </c>
      <c r="B2177" s="36">
        <f t="shared" si="127"/>
        <v>7</v>
      </c>
      <c r="C2177" s="37">
        <f t="shared" si="126"/>
        <v>41092</v>
      </c>
      <c r="D2177" s="191" t="s">
        <v>1707</v>
      </c>
      <c r="E2177" s="191">
        <v>41092</v>
      </c>
      <c r="F2177" s="192" t="s">
        <v>1336</v>
      </c>
      <c r="G2177" s="490" t="s">
        <v>1034</v>
      </c>
      <c r="H2177" s="7" t="s">
        <v>1700</v>
      </c>
      <c r="I2177" s="252">
        <v>35</v>
      </c>
      <c r="J2177" s="252">
        <v>14221</v>
      </c>
      <c r="K2177" s="38">
        <f t="shared" si="125"/>
        <v>497735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customHeight="1">
      <c r="A2178" s="204" t="str">
        <f>IF(B2178&lt;&gt;"",IF(AND(B2178&gt;=_TM1,B2178&lt;=_TM2,OR(TH!L2178="1111",TH!M2178="1111")),TH!D2178,""),"")</f>
        <v/>
      </c>
      <c r="B2178" s="36">
        <f t="shared" si="127"/>
        <v>7</v>
      </c>
      <c r="C2178" s="37">
        <f t="shared" si="126"/>
        <v>41093</v>
      </c>
      <c r="D2178" s="191" t="s">
        <v>1708</v>
      </c>
      <c r="E2178" s="191">
        <v>41093</v>
      </c>
      <c r="F2178" s="192" t="s">
        <v>1450</v>
      </c>
      <c r="G2178" s="490" t="s">
        <v>1035</v>
      </c>
      <c r="H2178" s="7" t="s">
        <v>1700</v>
      </c>
      <c r="I2178" s="252">
        <v>260</v>
      </c>
      <c r="J2178" s="252">
        <v>12903</v>
      </c>
      <c r="K2178" s="38">
        <f t="shared" si="125"/>
        <v>3354780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customHeight="1">
      <c r="A2179" s="204" t="str">
        <f>IF(B2179&lt;&gt;"",IF(AND(B2179&gt;=_TM1,B2179&lt;=_TM2,OR(TH!L2179="1111",TH!M2179="1111")),TH!D2179,""),"")</f>
        <v/>
      </c>
      <c r="B2179" s="36">
        <f t="shared" si="127"/>
        <v>7</v>
      </c>
      <c r="C2179" s="37">
        <f t="shared" si="126"/>
        <v>41093</v>
      </c>
      <c r="D2179" s="191" t="s">
        <v>1708</v>
      </c>
      <c r="E2179" s="191">
        <v>41093</v>
      </c>
      <c r="F2179" s="192" t="s">
        <v>1386</v>
      </c>
      <c r="G2179" s="490" t="s">
        <v>1035</v>
      </c>
      <c r="H2179" s="7" t="s">
        <v>1700</v>
      </c>
      <c r="I2179" s="252">
        <v>310</v>
      </c>
      <c r="J2179" s="252">
        <v>11176</v>
      </c>
      <c r="K2179" s="38">
        <f t="shared" si="125"/>
        <v>3464560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customHeight="1">
      <c r="A2180" s="204" t="str">
        <f>IF(B2180&lt;&gt;"",IF(AND(B2180&gt;=_TM1,B2180&lt;=_TM2,OR(TH!L2180="1111",TH!M2180="1111")),TH!D2180,""),"")</f>
        <v/>
      </c>
      <c r="B2180" s="36">
        <f t="shared" si="127"/>
        <v>7</v>
      </c>
      <c r="C2180" s="37">
        <f t="shared" si="126"/>
        <v>41093</v>
      </c>
      <c r="D2180" s="191" t="s">
        <v>1708</v>
      </c>
      <c r="E2180" s="191">
        <v>41093</v>
      </c>
      <c r="F2180" s="192" t="s">
        <v>1401</v>
      </c>
      <c r="G2180" s="490" t="s">
        <v>1035</v>
      </c>
      <c r="H2180" s="7" t="s">
        <v>1700</v>
      </c>
      <c r="I2180" s="252">
        <v>81</v>
      </c>
      <c r="J2180" s="252">
        <v>9828</v>
      </c>
      <c r="K2180" s="38">
        <f t="shared" si="125"/>
        <v>796068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customHeight="1">
      <c r="A2181" s="204" t="str">
        <f>IF(B2181&lt;&gt;"",IF(AND(B2181&gt;=_TM1,B2181&lt;=_TM2,OR(TH!L2181="1111",TH!M2181="1111")),TH!D2181,""),"")</f>
        <v/>
      </c>
      <c r="B2181" s="36">
        <f t="shared" si="127"/>
        <v>7</v>
      </c>
      <c r="C2181" s="37">
        <f t="shared" si="126"/>
        <v>41093</v>
      </c>
      <c r="D2181" s="191" t="s">
        <v>1708</v>
      </c>
      <c r="E2181" s="191">
        <v>41093</v>
      </c>
      <c r="F2181" s="192" t="s">
        <v>1450</v>
      </c>
      <c r="G2181" s="490" t="s">
        <v>1036</v>
      </c>
      <c r="H2181" s="7" t="s">
        <v>1700</v>
      </c>
      <c r="I2181" s="252">
        <v>240</v>
      </c>
      <c r="J2181" s="252">
        <v>12903</v>
      </c>
      <c r="K2181" s="38">
        <f t="shared" si="125"/>
        <v>3096720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customHeight="1">
      <c r="A2182" s="204" t="str">
        <f>IF(B2182&lt;&gt;"",IF(AND(B2182&gt;=_TM1,B2182&lt;=_TM2,OR(TH!L2182="1111",TH!M2182="1111")),TH!D2182,""),"")</f>
        <v/>
      </c>
      <c r="B2182" s="36">
        <f t="shared" si="127"/>
        <v>7</v>
      </c>
      <c r="C2182" s="37">
        <f t="shared" si="126"/>
        <v>41101</v>
      </c>
      <c r="D2182" s="191" t="s">
        <v>1709</v>
      </c>
      <c r="E2182" s="191">
        <v>41101</v>
      </c>
      <c r="F2182" s="192" t="s">
        <v>1434</v>
      </c>
      <c r="G2182" s="490" t="s">
        <v>426</v>
      </c>
      <c r="H2182" s="7" t="s">
        <v>1700</v>
      </c>
      <c r="I2182" s="252">
        <v>670</v>
      </c>
      <c r="J2182" s="252">
        <v>4931</v>
      </c>
      <c r="K2182" s="38">
        <f t="shared" ref="K2182:K2245" si="128">ROUND(I2182*J2182,0)</f>
        <v>3303770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customHeight="1">
      <c r="A2183" s="204" t="str">
        <f>IF(B2183&lt;&gt;"",IF(AND(B2183&gt;=_TM1,B2183&lt;=_TM2,OR(TH!L2183="1111",TH!M2183="1111")),TH!D2183,""),"")</f>
        <v/>
      </c>
      <c r="B2183" s="36">
        <f t="shared" si="127"/>
        <v>7</v>
      </c>
      <c r="C2183" s="37">
        <f t="shared" si="126"/>
        <v>41101</v>
      </c>
      <c r="D2183" s="191" t="s">
        <v>1709</v>
      </c>
      <c r="E2183" s="191">
        <v>41101</v>
      </c>
      <c r="F2183" s="192" t="s">
        <v>1346</v>
      </c>
      <c r="G2183" s="490" t="s">
        <v>756</v>
      </c>
      <c r="H2183" s="7" t="s">
        <v>1700</v>
      </c>
      <c r="I2183" s="252">
        <v>136</v>
      </c>
      <c r="J2183" s="252">
        <v>34944</v>
      </c>
      <c r="K2183" s="38">
        <f t="shared" si="128"/>
        <v>4752384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customHeight="1">
      <c r="A2184" s="204" t="str">
        <f>IF(B2184&lt;&gt;"",IF(AND(B2184&gt;=_TM1,B2184&lt;=_TM2,OR(TH!L2184="1111",TH!M2184="1111")),TH!D2184,""),"")</f>
        <v/>
      </c>
      <c r="B2184" s="36">
        <f t="shared" si="127"/>
        <v>7</v>
      </c>
      <c r="C2184" s="37">
        <f t="shared" si="126"/>
        <v>41101</v>
      </c>
      <c r="D2184" s="191" t="s">
        <v>1709</v>
      </c>
      <c r="E2184" s="191">
        <v>41101</v>
      </c>
      <c r="F2184" s="192" t="s">
        <v>1322</v>
      </c>
      <c r="G2184" s="490" t="s">
        <v>756</v>
      </c>
      <c r="H2184" s="7" t="s">
        <v>1700</v>
      </c>
      <c r="I2184" s="252">
        <v>50</v>
      </c>
      <c r="J2184" s="252">
        <v>38106</v>
      </c>
      <c r="K2184" s="38">
        <f t="shared" si="128"/>
        <v>1905300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customHeight="1">
      <c r="A2185" s="204" t="str">
        <f>IF(B2185&lt;&gt;"",IF(AND(B2185&gt;=_TM1,B2185&lt;=_TM2,OR(TH!L2185="1111",TH!M2185="1111")),TH!D2185,""),"")</f>
        <v/>
      </c>
      <c r="B2185" s="36">
        <f t="shared" si="127"/>
        <v>7</v>
      </c>
      <c r="C2185" s="37">
        <f t="shared" si="126"/>
        <v>41101</v>
      </c>
      <c r="D2185" s="191" t="s">
        <v>1709</v>
      </c>
      <c r="E2185" s="191">
        <v>41101</v>
      </c>
      <c r="F2185" s="192" t="s">
        <v>1284</v>
      </c>
      <c r="G2185" s="490" t="s">
        <v>1038</v>
      </c>
      <c r="H2185" s="7" t="s">
        <v>1700</v>
      </c>
      <c r="I2185" s="252">
        <v>66</v>
      </c>
      <c r="J2185" s="252">
        <v>19846</v>
      </c>
      <c r="K2185" s="38">
        <f t="shared" si="128"/>
        <v>1309836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customHeight="1">
      <c r="A2186" s="204" t="str">
        <f>IF(B2186&lt;&gt;"",IF(AND(B2186&gt;=_TM1,B2186&lt;=_TM2,OR(TH!L2186="1111",TH!M2186="1111")),TH!D2186,""),"")</f>
        <v/>
      </c>
      <c r="B2186" s="36">
        <f t="shared" si="127"/>
        <v>7</v>
      </c>
      <c r="C2186" s="37">
        <f t="shared" si="126"/>
        <v>41101</v>
      </c>
      <c r="D2186" s="191" t="s">
        <v>1709</v>
      </c>
      <c r="E2186" s="191">
        <v>41101</v>
      </c>
      <c r="F2186" s="192" t="s">
        <v>1336</v>
      </c>
      <c r="G2186" s="490" t="s">
        <v>1038</v>
      </c>
      <c r="H2186" s="7" t="s">
        <v>1700</v>
      </c>
      <c r="I2186" s="252">
        <v>53</v>
      </c>
      <c r="J2186" s="252">
        <v>14221</v>
      </c>
      <c r="K2186" s="38">
        <f t="shared" si="128"/>
        <v>753713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customHeight="1">
      <c r="A2187" s="204" t="str">
        <f>IF(B2187&lt;&gt;"",IF(AND(B2187&gt;=_TM1,B2187&lt;=_TM2,OR(TH!L2187="1111",TH!M2187="1111")),TH!D2187,""),"")</f>
        <v/>
      </c>
      <c r="B2187" s="36">
        <f t="shared" si="127"/>
        <v>7</v>
      </c>
      <c r="C2187" s="37">
        <f t="shared" si="126"/>
        <v>41102</v>
      </c>
      <c r="D2187" s="191" t="s">
        <v>1710</v>
      </c>
      <c r="E2187" s="191">
        <v>41102</v>
      </c>
      <c r="F2187" s="192" t="s">
        <v>1373</v>
      </c>
      <c r="G2187" s="490" t="s">
        <v>429</v>
      </c>
      <c r="H2187" s="7" t="s">
        <v>1700</v>
      </c>
      <c r="I2187" s="252">
        <v>193</v>
      </c>
      <c r="J2187" s="252">
        <v>19139</v>
      </c>
      <c r="K2187" s="38">
        <f t="shared" si="128"/>
        <v>3693827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customHeight="1">
      <c r="A2188" s="204" t="str">
        <f>IF(B2188&lt;&gt;"",IF(AND(B2188&gt;=_TM1,B2188&lt;=_TM2,OR(TH!L2188="1111",TH!M2188="1111")),TH!D2188,""),"")</f>
        <v/>
      </c>
      <c r="B2188" s="36">
        <f t="shared" si="127"/>
        <v>7</v>
      </c>
      <c r="C2188" s="37">
        <f t="shared" si="126"/>
        <v>41102</v>
      </c>
      <c r="D2188" s="191" t="s">
        <v>1710</v>
      </c>
      <c r="E2188" s="191">
        <v>41102</v>
      </c>
      <c r="F2188" s="192" t="s">
        <v>1410</v>
      </c>
      <c r="G2188" s="490" t="s">
        <v>429</v>
      </c>
      <c r="H2188" s="7" t="s">
        <v>1700</v>
      </c>
      <c r="I2188" s="252">
        <v>395</v>
      </c>
      <c r="J2188" s="252">
        <v>12241</v>
      </c>
      <c r="K2188" s="38">
        <f t="shared" si="128"/>
        <v>4835195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customHeight="1">
      <c r="A2189" s="204" t="str">
        <f>IF(B2189&lt;&gt;"",IF(AND(B2189&gt;=_TM1,B2189&lt;=_TM2,OR(TH!L2189="1111",TH!M2189="1111")),TH!D2189,""),"")</f>
        <v/>
      </c>
      <c r="B2189" s="36">
        <f t="shared" si="127"/>
        <v>7</v>
      </c>
      <c r="C2189" s="37">
        <f t="shared" si="126"/>
        <v>41102</v>
      </c>
      <c r="D2189" s="191" t="s">
        <v>1710</v>
      </c>
      <c r="E2189" s="191">
        <v>41102</v>
      </c>
      <c r="F2189" s="192" t="s">
        <v>1400</v>
      </c>
      <c r="G2189" s="490" t="s">
        <v>429</v>
      </c>
      <c r="H2189" s="7" t="s">
        <v>1700</v>
      </c>
      <c r="I2189" s="252">
        <v>170</v>
      </c>
      <c r="J2189" s="252">
        <v>16321</v>
      </c>
      <c r="K2189" s="38">
        <f t="shared" si="128"/>
        <v>2774570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customHeight="1">
      <c r="A2190" s="204" t="str">
        <f>IF(B2190&lt;&gt;"",IF(AND(B2190&gt;=_TM1,B2190&lt;=_TM2,OR(TH!L2190="1111",TH!M2190="1111")),TH!D2190,""),"")</f>
        <v/>
      </c>
      <c r="B2190" s="36">
        <f t="shared" si="127"/>
        <v>7</v>
      </c>
      <c r="C2190" s="37">
        <f t="shared" ref="C2190:C2253" si="129">E2190</f>
        <v>41102</v>
      </c>
      <c r="D2190" s="191" t="s">
        <v>1710</v>
      </c>
      <c r="E2190" s="191">
        <v>41102</v>
      </c>
      <c r="F2190" s="192" t="s">
        <v>1432</v>
      </c>
      <c r="G2190" s="490" t="s">
        <v>429</v>
      </c>
      <c r="H2190" s="7" t="s">
        <v>1700</v>
      </c>
      <c r="I2190" s="252">
        <v>400</v>
      </c>
      <c r="J2190" s="252">
        <v>10653</v>
      </c>
      <c r="K2190" s="38">
        <f t="shared" si="128"/>
        <v>4261200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customHeight="1">
      <c r="A2191" s="204" t="str">
        <f>IF(B2191&lt;&gt;"",IF(AND(B2191&gt;=_TM1,B2191&lt;=_TM2,OR(TH!L2191="1111",TH!M2191="1111")),TH!D2191,""),"")</f>
        <v/>
      </c>
      <c r="B2191" s="36">
        <f t="shared" si="127"/>
        <v>7</v>
      </c>
      <c r="C2191" s="37">
        <f t="shared" si="129"/>
        <v>41102</v>
      </c>
      <c r="D2191" s="191" t="s">
        <v>1710</v>
      </c>
      <c r="E2191" s="191">
        <v>41102</v>
      </c>
      <c r="F2191" s="192" t="s">
        <v>1373</v>
      </c>
      <c r="G2191" s="490" t="s">
        <v>429</v>
      </c>
      <c r="H2191" s="7" t="s">
        <v>1700</v>
      </c>
      <c r="I2191" s="252">
        <v>187</v>
      </c>
      <c r="J2191" s="252">
        <v>19139</v>
      </c>
      <c r="K2191" s="38">
        <f t="shared" si="128"/>
        <v>3578993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customHeight="1">
      <c r="A2192" s="204" t="str">
        <f>IF(B2192&lt;&gt;"",IF(AND(B2192&gt;=_TM1,B2192&lt;=_TM2,OR(TH!L2192="1111",TH!M2192="1111")),TH!D2192,""),"")</f>
        <v/>
      </c>
      <c r="B2192" s="36">
        <f t="shared" si="127"/>
        <v>7</v>
      </c>
      <c r="C2192" s="37">
        <f t="shared" si="129"/>
        <v>41114</v>
      </c>
      <c r="D2192" s="191" t="s">
        <v>1711</v>
      </c>
      <c r="E2192" s="191">
        <v>41114</v>
      </c>
      <c r="F2192" s="192" t="s">
        <v>1332</v>
      </c>
      <c r="G2192" s="490" t="s">
        <v>1039</v>
      </c>
      <c r="H2192" s="7" t="s">
        <v>1700</v>
      </c>
      <c r="I2192" s="252">
        <v>160</v>
      </c>
      <c r="J2192" s="252">
        <v>20579</v>
      </c>
      <c r="K2192" s="38">
        <f t="shared" si="128"/>
        <v>3292640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customHeight="1">
      <c r="A2193" s="204" t="str">
        <f>IF(B2193&lt;&gt;"",IF(AND(B2193&gt;=_TM1,B2193&lt;=_TM2,OR(TH!L2193="1111",TH!M2193="1111")),TH!D2193,""),"")</f>
        <v/>
      </c>
      <c r="B2193" s="36">
        <f t="shared" si="127"/>
        <v>7</v>
      </c>
      <c r="C2193" s="37">
        <f t="shared" si="129"/>
        <v>41114</v>
      </c>
      <c r="D2193" s="191" t="s">
        <v>1711</v>
      </c>
      <c r="E2193" s="191">
        <v>41114</v>
      </c>
      <c r="F2193" s="192" t="s">
        <v>1268</v>
      </c>
      <c r="G2193" s="490" t="s">
        <v>1039</v>
      </c>
      <c r="H2193" s="7" t="s">
        <v>1700</v>
      </c>
      <c r="I2193" s="252">
        <v>100</v>
      </c>
      <c r="J2193" s="252">
        <v>19513</v>
      </c>
      <c r="K2193" s="38">
        <f t="shared" si="128"/>
        <v>1951300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ht="15.75" customHeight="1">
      <c r="A2194" s="204" t="str">
        <f>IF(B2194&lt;&gt;"",IF(AND(B2194&gt;=_TM1,B2194&lt;=_TM2,OR(TH!L2194="1111",TH!M2194="1111")),TH!D2194,""),"")</f>
        <v/>
      </c>
      <c r="B2194" s="36">
        <f t="shared" si="127"/>
        <v>7</v>
      </c>
      <c r="C2194" s="37">
        <f t="shared" si="129"/>
        <v>41114</v>
      </c>
      <c r="D2194" s="191" t="s">
        <v>1711</v>
      </c>
      <c r="E2194" s="191">
        <v>41114</v>
      </c>
      <c r="F2194" s="192" t="s">
        <v>1335</v>
      </c>
      <c r="G2194" s="490" t="s">
        <v>1040</v>
      </c>
      <c r="H2194" s="7" t="s">
        <v>1700</v>
      </c>
      <c r="I2194" s="252">
        <v>220</v>
      </c>
      <c r="J2194" s="252">
        <v>16029</v>
      </c>
      <c r="K2194" s="38">
        <f t="shared" si="128"/>
        <v>3526380</v>
      </c>
      <c r="L2194" s="39" t="s">
        <v>175</v>
      </c>
      <c r="M2194" s="39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B2194" s="211"/>
    </row>
    <row r="2195" spans="1:28" ht="15.75" customHeight="1">
      <c r="A2195" s="204" t="str">
        <f>IF(B2195&lt;&gt;"",IF(AND(B2195&gt;=_TM1,B2195&lt;=_TM2,OR(TH!L2195="1111",TH!M2195="1111")),TH!D2195,""),"")</f>
        <v/>
      </c>
      <c r="B2195" s="36">
        <f t="shared" si="127"/>
        <v>7</v>
      </c>
      <c r="C2195" s="37">
        <f t="shared" si="129"/>
        <v>41114</v>
      </c>
      <c r="D2195" s="191" t="s">
        <v>1711</v>
      </c>
      <c r="E2195" s="191">
        <v>41114</v>
      </c>
      <c r="F2195" s="192" t="s">
        <v>1373</v>
      </c>
      <c r="G2195" s="490" t="s">
        <v>1040</v>
      </c>
      <c r="H2195" s="7" t="s">
        <v>1700</v>
      </c>
      <c r="I2195" s="252">
        <v>25</v>
      </c>
      <c r="J2195" s="252">
        <v>19139</v>
      </c>
      <c r="K2195" s="38">
        <f t="shared" si="128"/>
        <v>478475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customHeight="1">
      <c r="A2196" s="204" t="str">
        <f>IF(B2196&lt;&gt;"",IF(AND(B2196&gt;=_TM1,B2196&lt;=_TM2,OR(TH!L2196="1111",TH!M2196="1111")),TH!D2196,""),"")</f>
        <v/>
      </c>
      <c r="B2196" s="36">
        <f t="shared" si="127"/>
        <v>7</v>
      </c>
      <c r="C2196" s="37">
        <f t="shared" si="129"/>
        <v>41114</v>
      </c>
      <c r="D2196" s="191" t="s">
        <v>1711</v>
      </c>
      <c r="E2196" s="191">
        <v>41114</v>
      </c>
      <c r="F2196" s="192" t="s">
        <v>1309</v>
      </c>
      <c r="G2196" s="490" t="s">
        <v>430</v>
      </c>
      <c r="H2196" s="7" t="s">
        <v>1700</v>
      </c>
      <c r="I2196" s="252">
        <v>168</v>
      </c>
      <c r="J2196" s="252">
        <v>22301</v>
      </c>
      <c r="K2196" s="38">
        <f t="shared" si="128"/>
        <v>3746568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customHeight="1">
      <c r="A2197" s="204" t="str">
        <f>IF(B2197&lt;&gt;"",IF(AND(B2197&gt;=_TM1,B2197&lt;=_TM2,OR(TH!L2197="1111",TH!M2197="1111")),TH!D2197,""),"")</f>
        <v/>
      </c>
      <c r="B2197" s="36">
        <f t="shared" si="127"/>
        <v>7</v>
      </c>
      <c r="C2197" s="37">
        <f t="shared" si="129"/>
        <v>41115</v>
      </c>
      <c r="D2197" s="191" t="s">
        <v>1712</v>
      </c>
      <c r="E2197" s="191">
        <v>41115</v>
      </c>
      <c r="F2197" s="192" t="s">
        <v>1278</v>
      </c>
      <c r="G2197" s="490" t="s">
        <v>1041</v>
      </c>
      <c r="H2197" s="7" t="s">
        <v>1700</v>
      </c>
      <c r="I2197" s="252">
        <v>13</v>
      </c>
      <c r="J2197" s="252">
        <v>16878</v>
      </c>
      <c r="K2197" s="38">
        <f t="shared" si="128"/>
        <v>219414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customHeight="1">
      <c r="A2198" s="204" t="str">
        <f>IF(B2198&lt;&gt;"",IF(AND(B2198&gt;=_TM1,B2198&lt;=_TM2,OR(TH!L2198="1111",TH!M2198="1111")),TH!D2198,""),"")</f>
        <v/>
      </c>
      <c r="B2198" s="36">
        <f t="shared" si="127"/>
        <v>7</v>
      </c>
      <c r="C2198" s="37">
        <f t="shared" si="129"/>
        <v>41115</v>
      </c>
      <c r="D2198" s="191" t="s">
        <v>1712</v>
      </c>
      <c r="E2198" s="191">
        <v>41115</v>
      </c>
      <c r="F2198" s="192" t="s">
        <v>1401</v>
      </c>
      <c r="G2198" s="490" t="s">
        <v>1043</v>
      </c>
      <c r="H2198" s="7" t="s">
        <v>1700</v>
      </c>
      <c r="I2198" s="252">
        <v>40</v>
      </c>
      <c r="J2198" s="252">
        <v>9828</v>
      </c>
      <c r="K2198" s="38">
        <f t="shared" si="128"/>
        <v>393120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customHeight="1">
      <c r="A2199" s="204" t="str">
        <f>IF(B2199&lt;&gt;"",IF(AND(B2199&gt;=_TM1,B2199&lt;=_TM2,OR(TH!L2199="1111",TH!M2199="1111")),TH!D2199,""),"")</f>
        <v/>
      </c>
      <c r="B2199" s="36">
        <f t="shared" si="127"/>
        <v>7</v>
      </c>
      <c r="C2199" s="37">
        <f t="shared" si="129"/>
        <v>41115</v>
      </c>
      <c r="D2199" s="191" t="s">
        <v>1712</v>
      </c>
      <c r="E2199" s="191">
        <v>41115</v>
      </c>
      <c r="F2199" s="192" t="s">
        <v>1414</v>
      </c>
      <c r="G2199" s="490" t="s">
        <v>1043</v>
      </c>
      <c r="H2199" s="7" t="s">
        <v>1700</v>
      </c>
      <c r="I2199" s="252">
        <v>90</v>
      </c>
      <c r="J2199" s="252">
        <v>7510</v>
      </c>
      <c r="K2199" s="38">
        <f t="shared" si="128"/>
        <v>675900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customHeight="1">
      <c r="A2200" s="204" t="str">
        <f>IF(B2200&lt;&gt;"",IF(AND(B2200&gt;=_TM1,B2200&lt;=_TM2,OR(TH!L2200="1111",TH!M2200="1111")),TH!D2200,""),"")</f>
        <v/>
      </c>
      <c r="B2200" s="36">
        <f t="shared" si="127"/>
        <v>7</v>
      </c>
      <c r="C2200" s="37">
        <f t="shared" si="129"/>
        <v>41115</v>
      </c>
      <c r="D2200" s="191" t="s">
        <v>1712</v>
      </c>
      <c r="E2200" s="191">
        <v>41115</v>
      </c>
      <c r="F2200" s="192" t="s">
        <v>1442</v>
      </c>
      <c r="G2200" s="490" t="s">
        <v>1043</v>
      </c>
      <c r="H2200" s="7" t="s">
        <v>1700</v>
      </c>
      <c r="I2200" s="252">
        <v>40</v>
      </c>
      <c r="J2200" s="252">
        <v>9891</v>
      </c>
      <c r="K2200" s="38">
        <f t="shared" si="128"/>
        <v>395640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customHeight="1">
      <c r="A2201" s="204" t="str">
        <f>IF(B2201&lt;&gt;"",IF(AND(B2201&gt;=_TM1,B2201&lt;=_TM2,OR(TH!L2201="1111",TH!M2201="1111")),TH!D2201,""),"")</f>
        <v/>
      </c>
      <c r="B2201" s="36">
        <f t="shared" si="127"/>
        <v>7</v>
      </c>
      <c r="C2201" s="37">
        <f t="shared" si="129"/>
        <v>41115</v>
      </c>
      <c r="D2201" s="191" t="s">
        <v>1712</v>
      </c>
      <c r="E2201" s="191">
        <v>41115</v>
      </c>
      <c r="F2201" s="192" t="s">
        <v>1448</v>
      </c>
      <c r="G2201" s="490" t="s">
        <v>1043</v>
      </c>
      <c r="H2201" s="7" t="s">
        <v>1700</v>
      </c>
      <c r="I2201" s="252">
        <v>70</v>
      </c>
      <c r="J2201" s="252">
        <v>10374</v>
      </c>
      <c r="K2201" s="38">
        <f t="shared" si="128"/>
        <v>726180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customHeight="1">
      <c r="A2202" s="204" t="str">
        <f>IF(B2202&lt;&gt;"",IF(AND(B2202&gt;=_TM1,B2202&lt;=_TM2,OR(TH!L2202="1111",TH!M2202="1111")),TH!D2202,""),"")</f>
        <v/>
      </c>
      <c r="B2202" s="36">
        <f t="shared" si="127"/>
        <v>7</v>
      </c>
      <c r="C2202" s="37">
        <f t="shared" si="129"/>
        <v>41115</v>
      </c>
      <c r="D2202" s="191" t="s">
        <v>1712</v>
      </c>
      <c r="E2202" s="191">
        <v>41115</v>
      </c>
      <c r="F2202" s="192" t="s">
        <v>1336</v>
      </c>
      <c r="G2202" s="490" t="s">
        <v>1043</v>
      </c>
      <c r="H2202" s="7" t="s">
        <v>1700</v>
      </c>
      <c r="I2202" s="252">
        <v>20</v>
      </c>
      <c r="J2202" s="252">
        <v>14221</v>
      </c>
      <c r="K2202" s="38">
        <f t="shared" si="128"/>
        <v>284420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customHeight="1">
      <c r="A2203" s="204" t="str">
        <f>IF(B2203&lt;&gt;"",IF(AND(B2203&gt;=_TM1,B2203&lt;=_TM2,OR(TH!L2203="1111",TH!M2203="1111")),TH!D2203,""),"")</f>
        <v/>
      </c>
      <c r="B2203" s="36">
        <f t="shared" si="127"/>
        <v>7</v>
      </c>
      <c r="C2203" s="37">
        <f t="shared" si="129"/>
        <v>41115</v>
      </c>
      <c r="D2203" s="191" t="s">
        <v>1712</v>
      </c>
      <c r="E2203" s="191">
        <v>41115</v>
      </c>
      <c r="F2203" s="192" t="s">
        <v>1336</v>
      </c>
      <c r="G2203" s="490" t="s">
        <v>1043</v>
      </c>
      <c r="H2203" s="7" t="s">
        <v>1700</v>
      </c>
      <c r="I2203" s="252">
        <v>11</v>
      </c>
      <c r="J2203" s="252">
        <v>14221</v>
      </c>
      <c r="K2203" s="38">
        <f t="shared" si="128"/>
        <v>156431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customHeight="1">
      <c r="A2204" s="204" t="str">
        <f>IF(B2204&lt;&gt;"",IF(AND(B2204&gt;=_TM1,B2204&lt;=_TM2,OR(TH!L2204="1111",TH!M2204="1111")),TH!D2204,""),"")</f>
        <v/>
      </c>
      <c r="B2204" s="36">
        <f t="shared" si="127"/>
        <v>7</v>
      </c>
      <c r="C2204" s="37">
        <f t="shared" si="129"/>
        <v>41115</v>
      </c>
      <c r="D2204" s="191" t="s">
        <v>1712</v>
      </c>
      <c r="E2204" s="191">
        <v>41115</v>
      </c>
      <c r="F2204" s="192" t="s">
        <v>1448</v>
      </c>
      <c r="G2204" s="490" t="s">
        <v>1043</v>
      </c>
      <c r="H2204" s="7" t="s">
        <v>1700</v>
      </c>
      <c r="I2204" s="252">
        <v>40</v>
      </c>
      <c r="J2204" s="252">
        <v>10374</v>
      </c>
      <c r="K2204" s="38">
        <f t="shared" si="128"/>
        <v>414960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customHeight="1">
      <c r="A2205" s="204" t="str">
        <f>IF(B2205&lt;&gt;"",IF(AND(B2205&gt;=_TM1,B2205&lt;=_TM2,OR(TH!L2205="1111",TH!M2205="1111")),TH!D2205,""),"")</f>
        <v/>
      </c>
      <c r="B2205" s="36">
        <f t="shared" si="127"/>
        <v>7</v>
      </c>
      <c r="C2205" s="37">
        <f t="shared" si="129"/>
        <v>41115</v>
      </c>
      <c r="D2205" s="191" t="s">
        <v>1712</v>
      </c>
      <c r="E2205" s="191">
        <v>41115</v>
      </c>
      <c r="F2205" s="192" t="s">
        <v>1336</v>
      </c>
      <c r="G2205" s="490" t="s">
        <v>1043</v>
      </c>
      <c r="H2205" s="7" t="s">
        <v>1700</v>
      </c>
      <c r="I2205" s="252">
        <v>51</v>
      </c>
      <c r="J2205" s="252">
        <v>14221</v>
      </c>
      <c r="K2205" s="38">
        <f t="shared" si="128"/>
        <v>725271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customHeight="1">
      <c r="A2206" s="204" t="str">
        <f>IF(B2206&lt;&gt;"",IF(AND(B2206&gt;=_TM1,B2206&lt;=_TM2,OR(TH!L2206="1111",TH!M2206="1111")),TH!D2206,""),"")</f>
        <v/>
      </c>
      <c r="B2206" s="36">
        <f t="shared" si="127"/>
        <v>7</v>
      </c>
      <c r="C2206" s="37">
        <f t="shared" si="129"/>
        <v>41118</v>
      </c>
      <c r="D2206" s="191" t="s">
        <v>1713</v>
      </c>
      <c r="E2206" s="191">
        <v>41118</v>
      </c>
      <c r="F2206" s="192" t="s">
        <v>1269</v>
      </c>
      <c r="G2206" s="490" t="s">
        <v>1044</v>
      </c>
      <c r="H2206" s="7" t="s">
        <v>1700</v>
      </c>
      <c r="I2206" s="252">
        <v>185</v>
      </c>
      <c r="J2206" s="252">
        <v>22846</v>
      </c>
      <c r="K2206" s="38">
        <f t="shared" si="128"/>
        <v>4226510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customHeight="1">
      <c r="A2207" s="204" t="str">
        <f>IF(B2207&lt;&gt;"",IF(AND(B2207&gt;=_TM1,B2207&lt;=_TM2,OR(TH!L2207="1111",TH!M2207="1111")),TH!D2207,""),"")</f>
        <v/>
      </c>
      <c r="B2207" s="36">
        <f t="shared" si="127"/>
        <v>7</v>
      </c>
      <c r="C2207" s="37">
        <f t="shared" si="129"/>
        <v>41119</v>
      </c>
      <c r="D2207" s="191" t="s">
        <v>1714</v>
      </c>
      <c r="E2207" s="191">
        <v>41119</v>
      </c>
      <c r="F2207" s="189" t="s">
        <v>1278</v>
      </c>
      <c r="G2207" s="617" t="s">
        <v>1045</v>
      </c>
      <c r="H2207" s="7" t="s">
        <v>1700</v>
      </c>
      <c r="I2207" s="252">
        <v>15</v>
      </c>
      <c r="J2207" s="252">
        <v>16878</v>
      </c>
      <c r="K2207" s="38">
        <f t="shared" si="128"/>
        <v>253170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customHeight="1">
      <c r="A2208" s="204" t="str">
        <f>IF(B2208&lt;&gt;"",IF(AND(B2208&gt;=_TM1,B2208&lt;=_TM2,OR(TH!L2208="1111",TH!M2208="1111")),TH!D2208,""),"")</f>
        <v/>
      </c>
      <c r="B2208" s="36">
        <f t="shared" si="127"/>
        <v>7</v>
      </c>
      <c r="C2208" s="37">
        <f t="shared" si="129"/>
        <v>41119</v>
      </c>
      <c r="D2208" s="191" t="s">
        <v>1714</v>
      </c>
      <c r="E2208" s="191">
        <v>41119</v>
      </c>
      <c r="F2208" s="189" t="s">
        <v>1414</v>
      </c>
      <c r="G2208" s="617" t="s">
        <v>1045</v>
      </c>
      <c r="H2208" s="7" t="s">
        <v>1700</v>
      </c>
      <c r="I2208" s="252">
        <v>50</v>
      </c>
      <c r="J2208" s="252">
        <v>7510</v>
      </c>
      <c r="K2208" s="38">
        <f t="shared" si="128"/>
        <v>375500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customHeight="1">
      <c r="A2209" s="204" t="str">
        <f>IF(B2209&lt;&gt;"",IF(AND(B2209&gt;=_TM1,B2209&lt;=_TM2,OR(TH!L2209="1111",TH!M2209="1111")),TH!D2209,""),"")</f>
        <v/>
      </c>
      <c r="B2209" s="36">
        <f t="shared" si="127"/>
        <v>7</v>
      </c>
      <c r="C2209" s="37">
        <f t="shared" si="129"/>
        <v>41121</v>
      </c>
      <c r="D2209" s="191" t="s">
        <v>1715</v>
      </c>
      <c r="E2209" s="191">
        <v>41121</v>
      </c>
      <c r="F2209" s="189" t="s">
        <v>1454</v>
      </c>
      <c r="G2209" s="617" t="s">
        <v>1046</v>
      </c>
      <c r="H2209" s="7" t="s">
        <v>1700</v>
      </c>
      <c r="I2209" s="252">
        <v>1000</v>
      </c>
      <c r="J2209" s="252">
        <v>14732</v>
      </c>
      <c r="K2209" s="38">
        <f t="shared" si="128"/>
        <v>14732000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customHeight="1">
      <c r="A2210" s="204" t="str">
        <f>IF(B2210&lt;&gt;"",IF(AND(B2210&gt;=_TM1,B2210&lt;=_TM2,OR(TH!L2210="1111",TH!M2210="1111")),TH!D2210,""),"")</f>
        <v/>
      </c>
      <c r="B2210" s="36">
        <f t="shared" si="127"/>
        <v>8</v>
      </c>
      <c r="C2210" s="37">
        <f t="shared" si="129"/>
        <v>41122</v>
      </c>
      <c r="D2210" s="191" t="s">
        <v>1716</v>
      </c>
      <c r="E2210" s="191">
        <v>41122</v>
      </c>
      <c r="F2210" s="192" t="s">
        <v>1386</v>
      </c>
      <c r="G2210" s="490" t="s">
        <v>1047</v>
      </c>
      <c r="H2210" s="7" t="s">
        <v>1700</v>
      </c>
      <c r="I2210" s="252">
        <v>630</v>
      </c>
      <c r="J2210" s="252">
        <v>11176</v>
      </c>
      <c r="K2210" s="38">
        <f t="shared" si="128"/>
        <v>7040880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customHeight="1">
      <c r="A2211" s="204" t="str">
        <f>IF(B2211&lt;&gt;"",IF(AND(B2211&gt;=_TM1,B2211&lt;=_TM2,OR(TH!L2211="1111",TH!M2211="1111")),TH!D2211,""),"")</f>
        <v/>
      </c>
      <c r="B2211" s="36">
        <f t="shared" si="127"/>
        <v>8</v>
      </c>
      <c r="C2211" s="37">
        <f t="shared" si="129"/>
        <v>41122</v>
      </c>
      <c r="D2211" s="191" t="s">
        <v>1716</v>
      </c>
      <c r="E2211" s="191">
        <v>41122</v>
      </c>
      <c r="F2211" s="192" t="s">
        <v>1373</v>
      </c>
      <c r="G2211" s="490" t="s">
        <v>1048</v>
      </c>
      <c r="H2211" s="7" t="s">
        <v>1700</v>
      </c>
      <c r="I2211" s="252">
        <v>145</v>
      </c>
      <c r="J2211" s="252">
        <v>19139</v>
      </c>
      <c r="K2211" s="38">
        <f t="shared" si="128"/>
        <v>2775155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customHeight="1">
      <c r="A2212" s="204" t="str">
        <f>IF(B2212&lt;&gt;"",IF(AND(B2212&gt;=_TM1,B2212&lt;=_TM2,OR(TH!L2212="1111",TH!M2212="1111")),TH!D2212,""),"")</f>
        <v/>
      </c>
      <c r="B2212" s="36">
        <f t="shared" si="127"/>
        <v>8</v>
      </c>
      <c r="C2212" s="37">
        <f t="shared" si="129"/>
        <v>41122</v>
      </c>
      <c r="D2212" s="191" t="s">
        <v>1716</v>
      </c>
      <c r="E2212" s="191">
        <v>41122</v>
      </c>
      <c r="F2212" s="192" t="s">
        <v>1400</v>
      </c>
      <c r="G2212" s="490" t="s">
        <v>1048</v>
      </c>
      <c r="H2212" s="7" t="s">
        <v>1700</v>
      </c>
      <c r="I2212" s="252">
        <v>180</v>
      </c>
      <c r="J2212" s="252">
        <v>16321</v>
      </c>
      <c r="K2212" s="38">
        <f t="shared" si="128"/>
        <v>2937780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customHeight="1">
      <c r="A2213" s="204" t="str">
        <f>IF(B2213&lt;&gt;"",IF(AND(B2213&gt;=_TM1,B2213&lt;=_TM2,OR(TH!L2213="1111",TH!M2213="1111")),TH!D2213,""),"")</f>
        <v/>
      </c>
      <c r="B2213" s="36">
        <f t="shared" si="127"/>
        <v>8</v>
      </c>
      <c r="C2213" s="37">
        <f t="shared" si="129"/>
        <v>41122</v>
      </c>
      <c r="D2213" s="191" t="s">
        <v>1716</v>
      </c>
      <c r="E2213" s="810">
        <v>41122</v>
      </c>
      <c r="F2213" s="451" t="s">
        <v>1442</v>
      </c>
      <c r="G2213" s="40" t="s">
        <v>1048</v>
      </c>
      <c r="H2213" s="7" t="s">
        <v>1700</v>
      </c>
      <c r="I2213" s="252">
        <v>510</v>
      </c>
      <c r="J2213" s="252">
        <v>9891</v>
      </c>
      <c r="K2213" s="38">
        <f t="shared" si="128"/>
        <v>5044410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customHeight="1">
      <c r="A2214" s="204" t="str">
        <f>IF(B2214&lt;&gt;"",IF(AND(B2214&gt;=_TM1,B2214&lt;=_TM2,OR(TH!L2214="1111",TH!M2214="1111")),TH!D2214,""),"")</f>
        <v/>
      </c>
      <c r="B2214" s="36">
        <f t="shared" si="127"/>
        <v>8</v>
      </c>
      <c r="C2214" s="37">
        <f t="shared" si="129"/>
        <v>41125</v>
      </c>
      <c r="D2214" s="191" t="s">
        <v>1717</v>
      </c>
      <c r="E2214" s="810">
        <v>41125</v>
      </c>
      <c r="F2214" s="451" t="s">
        <v>1310</v>
      </c>
      <c r="G2214" s="40" t="s">
        <v>1049</v>
      </c>
      <c r="H2214" s="7" t="s">
        <v>1700</v>
      </c>
      <c r="I2214" s="252">
        <v>225</v>
      </c>
      <c r="J2214" s="252">
        <v>19584</v>
      </c>
      <c r="K2214" s="38">
        <f t="shared" si="128"/>
        <v>4406400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ht="15.75" customHeight="1">
      <c r="A2215" s="204" t="str">
        <f>IF(B2215&lt;&gt;"",IF(AND(B2215&gt;=_TM1,B2215&lt;=_TM2,OR(TH!L2215="1111",TH!M2215="1111")),TH!D2215,""),"")</f>
        <v/>
      </c>
      <c r="B2215" s="36">
        <f t="shared" si="127"/>
        <v>8</v>
      </c>
      <c r="C2215" s="37">
        <f t="shared" si="129"/>
        <v>41126</v>
      </c>
      <c r="D2215" s="191" t="s">
        <v>1718</v>
      </c>
      <c r="E2215" s="810">
        <v>41126</v>
      </c>
      <c r="F2215" s="452" t="s">
        <v>1448</v>
      </c>
      <c r="G2215" s="40" t="s">
        <v>1050</v>
      </c>
      <c r="H2215" s="7" t="s">
        <v>1700</v>
      </c>
      <c r="I2215" s="252">
        <v>310</v>
      </c>
      <c r="J2215" s="252">
        <v>10374</v>
      </c>
      <c r="K2215" s="38">
        <f t="shared" si="128"/>
        <v>3215940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ht="15.75" customHeight="1">
      <c r="A2216" s="204" t="str">
        <f>IF(B2216&lt;&gt;"",IF(AND(B2216&gt;=_TM1,B2216&lt;=_TM2,OR(TH!L2216="1111",TH!M2216="1111")),TH!D2216,""),"")</f>
        <v/>
      </c>
      <c r="B2216" s="36">
        <f t="shared" si="127"/>
        <v>8</v>
      </c>
      <c r="C2216" s="37">
        <f t="shared" si="129"/>
        <v>41126</v>
      </c>
      <c r="D2216" s="191" t="s">
        <v>1718</v>
      </c>
      <c r="E2216" s="810">
        <v>41126</v>
      </c>
      <c r="F2216" s="452" t="s">
        <v>1268</v>
      </c>
      <c r="G2216" s="40" t="s">
        <v>1050</v>
      </c>
      <c r="H2216" s="7" t="s">
        <v>1700</v>
      </c>
      <c r="I2216" s="252">
        <v>400</v>
      </c>
      <c r="J2216" s="252">
        <v>19513</v>
      </c>
      <c r="K2216" s="38">
        <f t="shared" si="128"/>
        <v>7805200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849" customFormat="1" ht="15.75" customHeight="1">
      <c r="A2217" s="204" t="str">
        <f>IF(B2217&lt;&gt;"",IF(AND(B2217&gt;=_TM1,B2217&lt;=_TM2,OR(TH!L2217="1111",TH!M2217="1111")),TH!D2217,""),"")</f>
        <v/>
      </c>
      <c r="B2217" s="732">
        <f t="shared" ref="B2217:B2280" si="130">IF(C2217&lt;&gt;"",MONTH(C2217),"")</f>
        <v>8</v>
      </c>
      <c r="C2217" s="37">
        <f t="shared" si="129"/>
        <v>41126</v>
      </c>
      <c r="D2217" s="191" t="s">
        <v>1718</v>
      </c>
      <c r="E2217" s="191">
        <v>41126</v>
      </c>
      <c r="F2217" s="40" t="s">
        <v>1401</v>
      </c>
      <c r="G2217" s="490" t="s">
        <v>673</v>
      </c>
      <c r="H2217" s="7" t="s">
        <v>1700</v>
      </c>
      <c r="I2217" s="252">
        <v>263</v>
      </c>
      <c r="J2217" s="252">
        <v>9828</v>
      </c>
      <c r="K2217" s="38">
        <f t="shared" si="128"/>
        <v>2584764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849" customFormat="1" ht="15.75" customHeight="1">
      <c r="A2218" s="204" t="str">
        <f>IF(B2218&lt;&gt;"",IF(AND(B2218&gt;=_TM1,B2218&lt;=_TM2,OR(TH!L2218="1111",TH!M2218="1111")),TH!D2218,""),"")</f>
        <v/>
      </c>
      <c r="B2218" s="732">
        <f t="shared" si="130"/>
        <v>8</v>
      </c>
      <c r="C2218" s="37">
        <f t="shared" si="129"/>
        <v>41133</v>
      </c>
      <c r="D2218" s="191" t="s">
        <v>1719</v>
      </c>
      <c r="E2218" s="191">
        <v>41133</v>
      </c>
      <c r="F2218" s="40" t="s">
        <v>1309</v>
      </c>
      <c r="G2218" s="490" t="s">
        <v>1051</v>
      </c>
      <c r="H2218" s="7" t="s">
        <v>1700</v>
      </c>
      <c r="I2218" s="252">
        <v>350</v>
      </c>
      <c r="J2218" s="252">
        <v>22301</v>
      </c>
      <c r="K2218" s="38">
        <f t="shared" si="128"/>
        <v>7805350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849" customFormat="1" ht="15.75" customHeight="1">
      <c r="A2219" s="204" t="str">
        <f>IF(B2219&lt;&gt;"",IF(AND(B2219&gt;=_TM1,B2219&lt;=_TM2,OR(TH!L2219="1111",TH!M2219="1111")),TH!D2219,""),"")</f>
        <v/>
      </c>
      <c r="B2219" s="732">
        <f t="shared" si="130"/>
        <v>8</v>
      </c>
      <c r="C2219" s="37">
        <f t="shared" si="129"/>
        <v>41134</v>
      </c>
      <c r="D2219" s="191" t="s">
        <v>1720</v>
      </c>
      <c r="E2219" s="191">
        <v>41134</v>
      </c>
      <c r="F2219" s="189" t="s">
        <v>1306</v>
      </c>
      <c r="G2219" s="490" t="s">
        <v>1052</v>
      </c>
      <c r="H2219" s="7" t="s">
        <v>1700</v>
      </c>
      <c r="I2219" s="252">
        <v>250</v>
      </c>
      <c r="J2219" s="252">
        <v>15680</v>
      </c>
      <c r="K2219" s="38">
        <f t="shared" si="128"/>
        <v>3920000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849" customFormat="1" ht="15.75" customHeight="1">
      <c r="A2220" s="204" t="str">
        <f>IF(B2220&lt;&gt;"",IF(AND(B2220&gt;=_TM1,B2220&lt;=_TM2,OR(TH!L2220="1111",TH!M2220="1111")),TH!D2220,""),"")</f>
        <v/>
      </c>
      <c r="B2220" s="732">
        <f t="shared" si="130"/>
        <v>8</v>
      </c>
      <c r="C2220" s="37">
        <f t="shared" si="129"/>
        <v>41134</v>
      </c>
      <c r="D2220" s="191" t="s">
        <v>1720</v>
      </c>
      <c r="E2220" s="191">
        <v>41134</v>
      </c>
      <c r="F2220" s="189" t="s">
        <v>1267</v>
      </c>
      <c r="G2220" s="490" t="s">
        <v>1052</v>
      </c>
      <c r="H2220" s="7" t="s">
        <v>1700</v>
      </c>
      <c r="I2220" s="252">
        <v>49</v>
      </c>
      <c r="J2220" s="252">
        <v>14375</v>
      </c>
      <c r="K2220" s="38">
        <f t="shared" si="128"/>
        <v>704375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849" customFormat="1" ht="15.75" customHeight="1">
      <c r="A2221" s="204" t="str">
        <f>IF(B2221&lt;&gt;"",IF(AND(B2221&gt;=_TM1,B2221&lt;=_TM2,OR(TH!L2221="1111",TH!M2221="1111")),TH!D2221,""),"")</f>
        <v/>
      </c>
      <c r="B2221" s="732">
        <f t="shared" si="130"/>
        <v>8</v>
      </c>
      <c r="C2221" s="37">
        <f t="shared" si="129"/>
        <v>41134</v>
      </c>
      <c r="D2221" s="191" t="s">
        <v>1720</v>
      </c>
      <c r="E2221" s="191">
        <v>41134</v>
      </c>
      <c r="F2221" s="295" t="s">
        <v>1373</v>
      </c>
      <c r="G2221" s="490" t="s">
        <v>1054</v>
      </c>
      <c r="H2221" s="7" t="s">
        <v>1700</v>
      </c>
      <c r="I2221" s="252">
        <v>650</v>
      </c>
      <c r="J2221" s="252">
        <v>19139</v>
      </c>
      <c r="K2221" s="38">
        <f t="shared" si="128"/>
        <v>12440350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ht="15.75" customHeight="1">
      <c r="A2222" s="204" t="str">
        <f>IF(B2222&lt;&gt;"",IF(AND(B2222&gt;=_TM1,B2222&lt;=_TM2,OR(TH!L2222="1111",TH!M2222="1111")),TH!D2222,""),"")</f>
        <v/>
      </c>
      <c r="B2222" s="36">
        <f t="shared" si="130"/>
        <v>8</v>
      </c>
      <c r="C2222" s="37">
        <f t="shared" si="129"/>
        <v>41134</v>
      </c>
      <c r="D2222" s="191" t="s">
        <v>1720</v>
      </c>
      <c r="E2222" s="191">
        <v>41134</v>
      </c>
      <c r="F2222" s="189" t="s">
        <v>1289</v>
      </c>
      <c r="G2222" s="490" t="s">
        <v>1054</v>
      </c>
      <c r="H2222" s="7" t="s">
        <v>1700</v>
      </c>
      <c r="I2222" s="252">
        <v>510</v>
      </c>
      <c r="J2222" s="252">
        <v>23149</v>
      </c>
      <c r="K2222" s="38">
        <f t="shared" si="128"/>
        <v>11805990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ht="15.75" customHeight="1">
      <c r="A2223" s="204" t="str">
        <f>IF(B2223&lt;&gt;"",IF(AND(B2223&gt;=_TM1,B2223&lt;=_TM2,OR(TH!L2223="1111",TH!M2223="1111")),TH!D2223,""),"")</f>
        <v/>
      </c>
      <c r="B2223" s="36">
        <f t="shared" si="130"/>
        <v>8</v>
      </c>
      <c r="C2223" s="37">
        <f t="shared" si="129"/>
        <v>41134</v>
      </c>
      <c r="D2223" s="191" t="s">
        <v>1720</v>
      </c>
      <c r="E2223" s="191">
        <v>41134</v>
      </c>
      <c r="F2223" s="40" t="s">
        <v>1275</v>
      </c>
      <c r="G2223" s="490" t="s">
        <v>1054</v>
      </c>
      <c r="H2223" s="7" t="s">
        <v>1700</v>
      </c>
      <c r="I2223" s="252">
        <v>66</v>
      </c>
      <c r="J2223" s="252">
        <v>17926</v>
      </c>
      <c r="K2223" s="38">
        <f t="shared" si="128"/>
        <v>1183116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ht="15.75" customHeight="1">
      <c r="A2224" s="204" t="str">
        <f>IF(B2224&lt;&gt;"",IF(AND(B2224&gt;=_TM1,B2224&lt;=_TM2,OR(TH!L2224="1111",TH!M2224="1111")),TH!D2224,""),"")</f>
        <v/>
      </c>
      <c r="B2224" s="36">
        <f t="shared" si="130"/>
        <v>8</v>
      </c>
      <c r="C2224" s="37">
        <f t="shared" si="129"/>
        <v>41134</v>
      </c>
      <c r="D2224" s="191" t="s">
        <v>1720</v>
      </c>
      <c r="E2224" s="191">
        <v>41134</v>
      </c>
      <c r="F2224" s="40" t="s">
        <v>1265</v>
      </c>
      <c r="G2224" s="490" t="s">
        <v>1054</v>
      </c>
      <c r="H2224" s="7" t="s">
        <v>1700</v>
      </c>
      <c r="I2224" s="252">
        <v>50</v>
      </c>
      <c r="J2224" s="252">
        <v>17306</v>
      </c>
      <c r="K2224" s="38">
        <f t="shared" si="128"/>
        <v>865300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ht="15.75" customHeight="1">
      <c r="A2225" s="204" t="str">
        <f>IF(B2225&lt;&gt;"",IF(AND(B2225&gt;=_TM1,B2225&lt;=_TM2,OR(TH!L2225="1111",TH!M2225="1111")),TH!D2225,""),"")</f>
        <v/>
      </c>
      <c r="B2225" s="36">
        <f t="shared" si="130"/>
        <v>8</v>
      </c>
      <c r="C2225" s="37">
        <f t="shared" si="129"/>
        <v>41147</v>
      </c>
      <c r="D2225" s="191" t="s">
        <v>1721</v>
      </c>
      <c r="E2225" s="191">
        <v>41147</v>
      </c>
      <c r="F2225" s="40" t="s">
        <v>1289</v>
      </c>
      <c r="G2225" s="40" t="s">
        <v>1058</v>
      </c>
      <c r="H2225" s="7" t="s">
        <v>1700</v>
      </c>
      <c r="I2225" s="252">
        <v>1520</v>
      </c>
      <c r="J2225" s="252">
        <v>23149</v>
      </c>
      <c r="K2225" s="38">
        <f t="shared" si="128"/>
        <v>35186480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ht="15.75" customHeight="1">
      <c r="A2226" s="204" t="str">
        <f>IF(B2226&lt;&gt;"",IF(AND(B2226&gt;=_TM1,B2226&lt;=_TM2,OR(TH!L2226="1111",TH!M2226="1111")),TH!D2226,""),"")</f>
        <v/>
      </c>
      <c r="B2226" s="36">
        <f t="shared" si="130"/>
        <v>8</v>
      </c>
      <c r="C2226" s="37">
        <f t="shared" si="129"/>
        <v>41147</v>
      </c>
      <c r="D2226" s="191" t="s">
        <v>1721</v>
      </c>
      <c r="E2226" s="191">
        <v>41147</v>
      </c>
      <c r="F2226" s="40" t="s">
        <v>1443</v>
      </c>
      <c r="G2226" s="40" t="s">
        <v>431</v>
      </c>
      <c r="H2226" s="7" t="s">
        <v>1700</v>
      </c>
      <c r="I2226" s="252">
        <v>310</v>
      </c>
      <c r="J2226" s="252">
        <v>13042</v>
      </c>
      <c r="K2226" s="38">
        <f t="shared" si="128"/>
        <v>4043020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ht="15.75" customHeight="1">
      <c r="A2227" s="204" t="str">
        <f>IF(B2227&lt;&gt;"",IF(AND(B2227&gt;=_TM1,B2227&lt;=_TM2,OR(TH!L2227="1111",TH!M2227="1111")),TH!D2227,""),"")</f>
        <v/>
      </c>
      <c r="B2227" s="36">
        <f t="shared" si="130"/>
        <v>8</v>
      </c>
      <c r="C2227" s="37">
        <f t="shared" si="129"/>
        <v>41147</v>
      </c>
      <c r="D2227" s="191" t="s">
        <v>1721</v>
      </c>
      <c r="E2227" s="191">
        <v>41147</v>
      </c>
      <c r="F2227" s="40" t="s">
        <v>1263</v>
      </c>
      <c r="G2227" s="40" t="s">
        <v>431</v>
      </c>
      <c r="H2227" s="7" t="s">
        <v>1700</v>
      </c>
      <c r="I2227" s="252">
        <v>320</v>
      </c>
      <c r="J2227" s="252">
        <v>11635</v>
      </c>
      <c r="K2227" s="38">
        <f t="shared" si="128"/>
        <v>3723200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ht="15.75" customHeight="1">
      <c r="A2228" s="204" t="str">
        <f>IF(B2228&lt;&gt;"",IF(AND(B2228&gt;=_TM1,B2228&lt;=_TM2,OR(TH!L2228="1111",TH!M2228="1111")),TH!D2228,""),"")</f>
        <v/>
      </c>
      <c r="B2228" s="36">
        <f t="shared" si="130"/>
        <v>8</v>
      </c>
      <c r="C2228" s="37">
        <f t="shared" si="129"/>
        <v>41150</v>
      </c>
      <c r="D2228" s="191" t="s">
        <v>1722</v>
      </c>
      <c r="E2228" s="37">
        <v>41150</v>
      </c>
      <c r="F2228" s="40" t="s">
        <v>1332</v>
      </c>
      <c r="G2228" s="40" t="s">
        <v>1059</v>
      </c>
      <c r="H2228" s="7" t="s">
        <v>1700</v>
      </c>
      <c r="I2228" s="252">
        <v>265</v>
      </c>
      <c r="J2228" s="252">
        <v>20579</v>
      </c>
      <c r="K2228" s="38">
        <f t="shared" si="128"/>
        <v>5453435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ht="15.75" customHeight="1">
      <c r="A2229" s="204" t="str">
        <f>IF(B2229&lt;&gt;"",IF(AND(B2229&gt;=_TM1,B2229&lt;=_TM2,OR(TH!L2229="1111",TH!M2229="1111")),TH!D2229,""),"")</f>
        <v/>
      </c>
      <c r="B2229" s="36">
        <f t="shared" si="130"/>
        <v>9</v>
      </c>
      <c r="C2229" s="37">
        <f t="shared" si="129"/>
        <v>41155</v>
      </c>
      <c r="D2229" s="191" t="s">
        <v>1723</v>
      </c>
      <c r="E2229" s="37">
        <v>41155</v>
      </c>
      <c r="F2229" s="40" t="s">
        <v>1324</v>
      </c>
      <c r="G2229" s="40" t="s">
        <v>1060</v>
      </c>
      <c r="H2229" s="7" t="s">
        <v>1700</v>
      </c>
      <c r="I2229" s="252">
        <v>268</v>
      </c>
      <c r="J2229" s="252">
        <v>21210</v>
      </c>
      <c r="K2229" s="38">
        <f t="shared" si="128"/>
        <v>5684280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ht="15.75" customHeight="1">
      <c r="A2230" s="204" t="str">
        <f>IF(B2230&lt;&gt;"",IF(AND(B2230&gt;=_TM1,B2230&lt;=_TM2,OR(TH!L2230="1111",TH!M2230="1111")),TH!D2230,""),"")</f>
        <v/>
      </c>
      <c r="B2230" s="36">
        <f t="shared" si="130"/>
        <v>9</v>
      </c>
      <c r="C2230" s="37">
        <f t="shared" si="129"/>
        <v>41159</v>
      </c>
      <c r="D2230" s="191" t="s">
        <v>1724</v>
      </c>
      <c r="E2230" s="37">
        <v>41159</v>
      </c>
      <c r="F2230" s="189" t="s">
        <v>1346</v>
      </c>
      <c r="G2230" s="40" t="s">
        <v>1061</v>
      </c>
      <c r="H2230" s="7" t="s">
        <v>1700</v>
      </c>
      <c r="I2230" s="252">
        <v>108</v>
      </c>
      <c r="J2230" s="252">
        <v>34944</v>
      </c>
      <c r="K2230" s="38">
        <f t="shared" si="128"/>
        <v>3773952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ht="15.75" customHeight="1">
      <c r="A2231" s="204" t="str">
        <f>IF(B2231&lt;&gt;"",IF(AND(B2231&gt;=_TM1,B2231&lt;=_TM2,OR(TH!L2231="1111",TH!M2231="1111")),TH!D2231,""),"")</f>
        <v/>
      </c>
      <c r="B2231" s="36">
        <f t="shared" si="130"/>
        <v>9</v>
      </c>
      <c r="C2231" s="37">
        <f t="shared" si="129"/>
        <v>41159</v>
      </c>
      <c r="D2231" s="191" t="s">
        <v>1724</v>
      </c>
      <c r="E2231" s="37">
        <v>41159</v>
      </c>
      <c r="F2231" s="189" t="s">
        <v>1311</v>
      </c>
      <c r="G2231" s="40" t="s">
        <v>1061</v>
      </c>
      <c r="H2231" s="7" t="s">
        <v>1700</v>
      </c>
      <c r="I2231" s="252">
        <v>65</v>
      </c>
      <c r="J2231" s="252">
        <v>29232</v>
      </c>
      <c r="K2231" s="38">
        <f t="shared" si="128"/>
        <v>1900080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ht="15.75" customHeight="1">
      <c r="A2232" s="204" t="str">
        <f>IF(B2232&lt;&gt;"",IF(AND(B2232&gt;=_TM1,B2232&lt;=_TM2,OR(TH!L2232="1111",TH!M2232="1111")),TH!D2232,""),"")</f>
        <v/>
      </c>
      <c r="B2232" s="36">
        <f t="shared" si="130"/>
        <v>9</v>
      </c>
      <c r="C2232" s="37">
        <f t="shared" si="129"/>
        <v>41159</v>
      </c>
      <c r="D2232" s="191" t="s">
        <v>1724</v>
      </c>
      <c r="E2232" s="37">
        <v>41159</v>
      </c>
      <c r="F2232" s="189" t="s">
        <v>1296</v>
      </c>
      <c r="G2232" s="40" t="s">
        <v>432</v>
      </c>
      <c r="H2232" s="7" t="s">
        <v>1700</v>
      </c>
      <c r="I2232" s="252">
        <v>350</v>
      </c>
      <c r="J2232" s="252">
        <v>18144.285714285714</v>
      </c>
      <c r="K2232" s="38">
        <f t="shared" si="128"/>
        <v>6350500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ht="15.75" customHeight="1">
      <c r="A2233" s="204" t="str">
        <f>IF(B2233&lt;&gt;"",IF(AND(B2233&gt;=_TM1,B2233&lt;=_TM2,OR(TH!L2233="1111",TH!M2233="1111")),TH!D2233,""),"")</f>
        <v/>
      </c>
      <c r="B2233" s="36">
        <f t="shared" si="130"/>
        <v>9</v>
      </c>
      <c r="C2233" s="37">
        <f t="shared" si="129"/>
        <v>41159</v>
      </c>
      <c r="D2233" s="191" t="s">
        <v>1724</v>
      </c>
      <c r="E2233" s="37">
        <v>41159</v>
      </c>
      <c r="F2233" s="189" t="s">
        <v>1297</v>
      </c>
      <c r="G2233" s="40" t="s">
        <v>432</v>
      </c>
      <c r="H2233" s="7" t="s">
        <v>1700</v>
      </c>
      <c r="I2233" s="252">
        <v>100</v>
      </c>
      <c r="J2233" s="252">
        <v>14463</v>
      </c>
      <c r="K2233" s="38">
        <f t="shared" si="128"/>
        <v>1446300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ht="15.75" customHeight="1">
      <c r="A2234" s="204" t="str">
        <f>IF(B2234&lt;&gt;"",IF(AND(B2234&gt;=_TM1,B2234&lt;=_TM2,OR(TH!L2234="1111",TH!M2234="1111")),TH!D2234,""),"")</f>
        <v/>
      </c>
      <c r="B2234" s="36">
        <f t="shared" si="130"/>
        <v>9</v>
      </c>
      <c r="C2234" s="37">
        <f t="shared" si="129"/>
        <v>41159</v>
      </c>
      <c r="D2234" s="191" t="s">
        <v>1724</v>
      </c>
      <c r="E2234" s="37">
        <v>41159</v>
      </c>
      <c r="F2234" s="40" t="s">
        <v>1312</v>
      </c>
      <c r="G2234" s="40" t="s">
        <v>432</v>
      </c>
      <c r="H2234" s="7" t="s">
        <v>1700</v>
      </c>
      <c r="I2234" s="252">
        <v>150</v>
      </c>
      <c r="J2234" s="252">
        <v>19924</v>
      </c>
      <c r="K2234" s="38">
        <f t="shared" si="128"/>
        <v>2988600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ht="15.75" customHeight="1">
      <c r="A2235" s="204" t="str">
        <f>IF(B2235&lt;&gt;"",IF(AND(B2235&gt;=_TM1,B2235&lt;=_TM2,OR(TH!L2235="1111",TH!M2235="1111")),TH!D2235,""),"")</f>
        <v/>
      </c>
      <c r="B2235" s="36">
        <f t="shared" si="130"/>
        <v>9</v>
      </c>
      <c r="C2235" s="37">
        <f t="shared" si="129"/>
        <v>41159</v>
      </c>
      <c r="D2235" s="191" t="s">
        <v>1724</v>
      </c>
      <c r="E2235" s="37">
        <v>41159</v>
      </c>
      <c r="F2235" s="189" t="s">
        <v>1274</v>
      </c>
      <c r="G2235" s="40" t="s">
        <v>1063</v>
      </c>
      <c r="H2235" s="7" t="s">
        <v>1700</v>
      </c>
      <c r="I2235" s="252">
        <v>20</v>
      </c>
      <c r="J2235" s="252">
        <v>20933</v>
      </c>
      <c r="K2235" s="38">
        <f t="shared" si="128"/>
        <v>418660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ht="15.75" customHeight="1">
      <c r="A2236" s="204" t="str">
        <f>IF(B2236&lt;&gt;"",IF(AND(B2236&gt;=_TM1,B2236&lt;=_TM2,OR(TH!L2236="1111",TH!M2236="1111")),TH!D2236,""),"")</f>
        <v/>
      </c>
      <c r="B2236" s="36">
        <f t="shared" si="130"/>
        <v>9</v>
      </c>
      <c r="C2236" s="37">
        <f t="shared" si="129"/>
        <v>41159</v>
      </c>
      <c r="D2236" s="191" t="s">
        <v>1724</v>
      </c>
      <c r="E2236" s="37">
        <v>41159</v>
      </c>
      <c r="F2236" s="189" t="s">
        <v>1418</v>
      </c>
      <c r="G2236" s="40" t="s">
        <v>1063</v>
      </c>
      <c r="H2236" s="7" t="s">
        <v>1700</v>
      </c>
      <c r="I2236" s="252">
        <v>45</v>
      </c>
      <c r="J2236" s="252">
        <v>14000</v>
      </c>
      <c r="K2236" s="38">
        <f t="shared" si="128"/>
        <v>630000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ht="15.75" customHeight="1">
      <c r="A2237" s="204" t="str">
        <f>IF(B2237&lt;&gt;"",IF(AND(B2237&gt;=_TM1,B2237&lt;=_TM2,OR(TH!L2237="1111",TH!M2237="1111")),TH!D2237,""),"")</f>
        <v/>
      </c>
      <c r="B2237" s="36">
        <f t="shared" si="130"/>
        <v>9</v>
      </c>
      <c r="C2237" s="37">
        <f t="shared" si="129"/>
        <v>41160</v>
      </c>
      <c r="D2237" s="191" t="s">
        <v>1725</v>
      </c>
      <c r="E2237" s="37">
        <v>41160</v>
      </c>
      <c r="F2237" s="40" t="s">
        <v>1418</v>
      </c>
      <c r="G2237" s="40" t="s">
        <v>1064</v>
      </c>
      <c r="H2237" s="7" t="s">
        <v>1700</v>
      </c>
      <c r="I2237" s="252">
        <v>155</v>
      </c>
      <c r="J2237" s="252">
        <v>14000</v>
      </c>
      <c r="K2237" s="38">
        <f t="shared" si="128"/>
        <v>2170000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ht="15.75" customHeight="1">
      <c r="A2238" s="204" t="str">
        <f>IF(B2238&lt;&gt;"",IF(AND(B2238&gt;=_TM1,B2238&lt;=_TM2,OR(TH!L2238="1111",TH!M2238="1111")),TH!D2238,""),"")</f>
        <v/>
      </c>
      <c r="B2238" s="36">
        <f t="shared" si="130"/>
        <v>9</v>
      </c>
      <c r="C2238" s="37">
        <f t="shared" si="129"/>
        <v>41160</v>
      </c>
      <c r="D2238" s="191" t="s">
        <v>1725</v>
      </c>
      <c r="E2238" s="37">
        <v>41160</v>
      </c>
      <c r="F2238" s="189" t="s">
        <v>1274</v>
      </c>
      <c r="G2238" s="40" t="s">
        <v>1064</v>
      </c>
      <c r="H2238" s="7" t="s">
        <v>1700</v>
      </c>
      <c r="I2238" s="252">
        <v>46</v>
      </c>
      <c r="J2238" s="252">
        <v>20933</v>
      </c>
      <c r="K2238" s="38">
        <f t="shared" si="128"/>
        <v>962918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ht="15.75" customHeight="1">
      <c r="A2239" s="204" t="str">
        <f>IF(B2239&lt;&gt;"",IF(AND(B2239&gt;=_TM1,B2239&lt;=_TM2,OR(TH!L2239="1111",TH!M2239="1111")),TH!D2239,""),"")</f>
        <v/>
      </c>
      <c r="B2239" s="36">
        <f t="shared" si="130"/>
        <v>9</v>
      </c>
      <c r="C2239" s="37">
        <f t="shared" si="129"/>
        <v>41160</v>
      </c>
      <c r="D2239" s="191" t="s">
        <v>1725</v>
      </c>
      <c r="E2239" s="37">
        <v>41160</v>
      </c>
      <c r="F2239" s="189" t="s">
        <v>1401</v>
      </c>
      <c r="G2239" s="40" t="s">
        <v>1064</v>
      </c>
      <c r="H2239" s="7" t="s">
        <v>1700</v>
      </c>
      <c r="I2239" s="252">
        <v>26</v>
      </c>
      <c r="J2239" s="252">
        <v>9828</v>
      </c>
      <c r="K2239" s="38">
        <f t="shared" si="128"/>
        <v>255528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ht="15.75" customHeight="1">
      <c r="A2240" s="204" t="str">
        <f>IF(B2240&lt;&gt;"",IF(AND(B2240&gt;=_TM1,B2240&lt;=_TM2,OR(TH!L2240="1111",TH!M2240="1111")),TH!D2240,""),"")</f>
        <v/>
      </c>
      <c r="B2240" s="36">
        <f t="shared" si="130"/>
        <v>9</v>
      </c>
      <c r="C2240" s="37">
        <f t="shared" si="129"/>
        <v>41160</v>
      </c>
      <c r="D2240" s="191" t="s">
        <v>1725</v>
      </c>
      <c r="E2240" s="37">
        <v>41160</v>
      </c>
      <c r="F2240" s="189" t="s">
        <v>1278</v>
      </c>
      <c r="G2240" s="40" t="s">
        <v>1064</v>
      </c>
      <c r="H2240" s="7" t="s">
        <v>1700</v>
      </c>
      <c r="I2240" s="252">
        <v>20</v>
      </c>
      <c r="J2240" s="252">
        <v>16878</v>
      </c>
      <c r="K2240" s="38">
        <f t="shared" si="128"/>
        <v>337560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ht="15.75" customHeight="1">
      <c r="A2241" s="204" t="str">
        <f>IF(B2241&lt;&gt;"",IF(AND(B2241&gt;=_TM1,B2241&lt;=_TM2,OR(TH!L2241="1111",TH!M2241="1111")),TH!D2241,""),"")</f>
        <v/>
      </c>
      <c r="B2241" s="36">
        <f t="shared" si="130"/>
        <v>9</v>
      </c>
      <c r="C2241" s="37">
        <f t="shared" si="129"/>
        <v>41160</v>
      </c>
      <c r="D2241" s="191" t="s">
        <v>1725</v>
      </c>
      <c r="E2241" s="37">
        <v>41160</v>
      </c>
      <c r="F2241" s="189" t="s">
        <v>1278</v>
      </c>
      <c r="G2241" s="40" t="s">
        <v>1064</v>
      </c>
      <c r="H2241" s="7" t="s">
        <v>1700</v>
      </c>
      <c r="I2241" s="252">
        <v>5</v>
      </c>
      <c r="J2241" s="252">
        <v>16878</v>
      </c>
      <c r="K2241" s="38">
        <f t="shared" si="128"/>
        <v>84390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ht="15.75" customHeight="1">
      <c r="A2242" s="204" t="str">
        <f>IF(B2242&lt;&gt;"",IF(AND(B2242&gt;=_TM1,B2242&lt;=_TM2,OR(TH!L2242="1111",TH!M2242="1111")),TH!D2242,""),"")</f>
        <v/>
      </c>
      <c r="B2242" s="36">
        <f t="shared" si="130"/>
        <v>9</v>
      </c>
      <c r="C2242" s="37">
        <f t="shared" si="129"/>
        <v>41166</v>
      </c>
      <c r="D2242" s="191" t="s">
        <v>1726</v>
      </c>
      <c r="E2242" s="37">
        <v>41166</v>
      </c>
      <c r="F2242" s="40" t="s">
        <v>1352</v>
      </c>
      <c r="G2242" s="40" t="s">
        <v>1065</v>
      </c>
      <c r="H2242" s="7" t="s">
        <v>1700</v>
      </c>
      <c r="I2242" s="252">
        <v>140</v>
      </c>
      <c r="J2242" s="252">
        <v>19768</v>
      </c>
      <c r="K2242" s="38">
        <f t="shared" si="128"/>
        <v>2767520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ht="15.75" customHeight="1">
      <c r="A2243" s="204" t="str">
        <f>IF(B2243&lt;&gt;"",IF(AND(B2243&gt;=_TM1,B2243&lt;=_TM2,OR(TH!L2243="1111",TH!M2243="1111")),TH!D2243,""),"")</f>
        <v/>
      </c>
      <c r="B2243" s="36">
        <f t="shared" si="130"/>
        <v>9</v>
      </c>
      <c r="C2243" s="37">
        <f t="shared" si="129"/>
        <v>41166</v>
      </c>
      <c r="D2243" s="191" t="s">
        <v>1726</v>
      </c>
      <c r="E2243" s="37">
        <v>41166</v>
      </c>
      <c r="F2243" s="189" t="s">
        <v>1269</v>
      </c>
      <c r="G2243" s="40" t="s">
        <v>1065</v>
      </c>
      <c r="H2243" s="7" t="s">
        <v>1700</v>
      </c>
      <c r="I2243" s="252">
        <v>125</v>
      </c>
      <c r="J2243" s="252">
        <v>22846</v>
      </c>
      <c r="K2243" s="38">
        <f t="shared" si="128"/>
        <v>2855750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894" customFormat="1" ht="15.75" customHeight="1">
      <c r="A2244" s="204" t="str">
        <f>IF(B2244&lt;&gt;"",IF(AND(B2244&gt;=_TM1,B2244&lt;=_TM2,OR(TH!L2244="1111",TH!M2244="1111")),TH!D2244,""),"")</f>
        <v/>
      </c>
      <c r="B2244" s="885">
        <f t="shared" si="130"/>
        <v>9</v>
      </c>
      <c r="C2244" s="911">
        <f t="shared" si="129"/>
        <v>41180</v>
      </c>
      <c r="D2244" s="886" t="s">
        <v>1727</v>
      </c>
      <c r="E2244" s="911">
        <v>41180</v>
      </c>
      <c r="F2244" s="915" t="s">
        <v>1462</v>
      </c>
      <c r="G2244" s="916" t="s">
        <v>1066</v>
      </c>
      <c r="H2244" s="914" t="s">
        <v>1700</v>
      </c>
      <c r="I2244" s="890">
        <v>258</v>
      </c>
      <c r="J2244" s="890">
        <v>15288</v>
      </c>
      <c r="K2244" s="891">
        <f t="shared" si="128"/>
        <v>3944304</v>
      </c>
      <c r="L2244" s="912" t="s">
        <v>175</v>
      </c>
      <c r="M2244" s="912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8" ht="15.75" customHeight="1">
      <c r="A2245" s="204" t="str">
        <f>IF(B2245&lt;&gt;"",IF(AND(B2245&gt;=_TM1,B2245&lt;=_TM2,OR(TH!L2245="1111",TH!M2245="1111")),TH!D2245,""),"")</f>
        <v/>
      </c>
      <c r="B2245" s="36">
        <f t="shared" si="130"/>
        <v>10</v>
      </c>
      <c r="C2245" s="37">
        <f t="shared" si="129"/>
        <v>41191</v>
      </c>
      <c r="D2245" s="191" t="s">
        <v>1707</v>
      </c>
      <c r="E2245" s="37">
        <v>41191</v>
      </c>
      <c r="F2245" s="189" t="s">
        <v>1462</v>
      </c>
      <c r="G2245" s="40" t="s">
        <v>433</v>
      </c>
      <c r="H2245" s="7" t="s">
        <v>1700</v>
      </c>
      <c r="I2245" s="252">
        <v>252</v>
      </c>
      <c r="J2245" s="252">
        <v>15288</v>
      </c>
      <c r="K2245" s="38">
        <f t="shared" si="128"/>
        <v>3852576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ht="15.75" customHeight="1">
      <c r="A2246" s="204" t="str">
        <f>IF(B2246&lt;&gt;"",IF(AND(B2246&gt;=_TM1,B2246&lt;=_TM2,OR(TH!L2246="1111",TH!M2246="1111")),TH!D2246,""),"")</f>
        <v/>
      </c>
      <c r="B2246" s="36">
        <f t="shared" si="130"/>
        <v>10</v>
      </c>
      <c r="C2246" s="37">
        <f t="shared" si="129"/>
        <v>41191</v>
      </c>
      <c r="D2246" s="191" t="s">
        <v>1707</v>
      </c>
      <c r="E2246" s="37">
        <v>41191</v>
      </c>
      <c r="F2246" s="40" t="s">
        <v>1298</v>
      </c>
      <c r="G2246" s="40" t="s">
        <v>433</v>
      </c>
      <c r="H2246" s="7" t="s">
        <v>1700</v>
      </c>
      <c r="I2246" s="252">
        <v>127</v>
      </c>
      <c r="J2246" s="252">
        <v>18306</v>
      </c>
      <c r="K2246" s="38">
        <f t="shared" ref="K2246:K2307" si="131">ROUND(I2246*J2246,0)</f>
        <v>2324862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ht="15.75" customHeight="1">
      <c r="A2247" s="204" t="str">
        <f>IF(B2247&lt;&gt;"",IF(AND(B2247&gt;=_TM1,B2247&lt;=_TM2,OR(TH!L2247="1111",TH!M2247="1111")),TH!D2247,""),"")</f>
        <v/>
      </c>
      <c r="B2247" s="36">
        <f t="shared" si="130"/>
        <v>10</v>
      </c>
      <c r="C2247" s="37">
        <f t="shared" si="129"/>
        <v>41191</v>
      </c>
      <c r="D2247" s="191" t="s">
        <v>1707</v>
      </c>
      <c r="E2247" s="37">
        <v>41191</v>
      </c>
      <c r="F2247" s="40" t="s">
        <v>1343</v>
      </c>
      <c r="G2247" s="40" t="s">
        <v>622</v>
      </c>
      <c r="H2247" s="7" t="s">
        <v>1700</v>
      </c>
      <c r="I2247" s="252">
        <v>500</v>
      </c>
      <c r="J2247" s="252">
        <v>15665</v>
      </c>
      <c r="K2247" s="38">
        <f t="shared" si="131"/>
        <v>7832500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ht="15.75" customHeight="1">
      <c r="A2248" s="204" t="str">
        <f>IF(B2248&lt;&gt;"",IF(AND(B2248&gt;=_TM1,B2248&lt;=_TM2,OR(TH!L2248="1111",TH!M2248="1111")),TH!D2248,""),"")</f>
        <v/>
      </c>
      <c r="B2248" s="36">
        <f t="shared" si="130"/>
        <v>10</v>
      </c>
      <c r="C2248" s="37">
        <f t="shared" si="129"/>
        <v>41191</v>
      </c>
      <c r="D2248" s="191" t="s">
        <v>1707</v>
      </c>
      <c r="E2248" s="37">
        <v>41191</v>
      </c>
      <c r="F2248" s="40" t="s">
        <v>1266</v>
      </c>
      <c r="G2248" s="40" t="s">
        <v>622</v>
      </c>
      <c r="H2248" s="7" t="s">
        <v>1700</v>
      </c>
      <c r="I2248" s="252">
        <v>100</v>
      </c>
      <c r="J2248" s="252">
        <v>18559</v>
      </c>
      <c r="K2248" s="38">
        <f t="shared" si="131"/>
        <v>1855900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ht="15.75" customHeight="1">
      <c r="A2249" s="204" t="str">
        <f>IF(B2249&lt;&gt;"",IF(AND(B2249&gt;=_TM1,B2249&lt;=_TM2,OR(TH!L2249="1111",TH!M2249="1111")),TH!D2249,""),"")</f>
        <v/>
      </c>
      <c r="B2249" s="36">
        <f t="shared" si="130"/>
        <v>10</v>
      </c>
      <c r="C2249" s="37">
        <f t="shared" si="129"/>
        <v>41191</v>
      </c>
      <c r="D2249" s="191" t="s">
        <v>1707</v>
      </c>
      <c r="E2249" s="37">
        <v>41191</v>
      </c>
      <c r="F2249" s="189" t="s">
        <v>1355</v>
      </c>
      <c r="G2249" s="40" t="s">
        <v>622</v>
      </c>
      <c r="H2249" s="7" t="s">
        <v>1700</v>
      </c>
      <c r="I2249" s="252">
        <v>50</v>
      </c>
      <c r="J2249" s="252">
        <v>18314</v>
      </c>
      <c r="K2249" s="38">
        <f t="shared" si="131"/>
        <v>915700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ht="15.75" customHeight="1">
      <c r="A2250" s="204" t="str">
        <f>IF(B2250&lt;&gt;"",IF(AND(B2250&gt;=_TM1,B2250&lt;=_TM2,OR(TH!L2250="1111",TH!M2250="1111")),TH!D2250,""),"")</f>
        <v/>
      </c>
      <c r="B2250" s="36">
        <f t="shared" si="130"/>
        <v>10</v>
      </c>
      <c r="C2250" s="37">
        <f t="shared" si="129"/>
        <v>41192</v>
      </c>
      <c r="D2250" s="191" t="s">
        <v>1708</v>
      </c>
      <c r="E2250" s="37">
        <v>41192</v>
      </c>
      <c r="F2250" s="40" t="s">
        <v>1343</v>
      </c>
      <c r="G2250" s="40" t="s">
        <v>1067</v>
      </c>
      <c r="H2250" s="7" t="s">
        <v>1700</v>
      </c>
      <c r="I2250" s="252">
        <v>500</v>
      </c>
      <c r="J2250" s="252">
        <v>15665</v>
      </c>
      <c r="K2250" s="38">
        <f t="shared" si="131"/>
        <v>7832500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ht="15.75" customHeight="1">
      <c r="A2251" s="204" t="str">
        <f>IF(B2251&lt;&gt;"",IF(AND(B2251&gt;=_TM1,B2251&lt;=_TM2,OR(TH!L2251="1111",TH!M2251="1111")),TH!D2251,""),"")</f>
        <v/>
      </c>
      <c r="B2251" s="36">
        <f t="shared" si="130"/>
        <v>10</v>
      </c>
      <c r="C2251" s="37">
        <f t="shared" si="129"/>
        <v>41192</v>
      </c>
      <c r="D2251" s="191" t="s">
        <v>1708</v>
      </c>
      <c r="E2251" s="37">
        <v>41192</v>
      </c>
      <c r="F2251" s="189" t="s">
        <v>1266</v>
      </c>
      <c r="G2251" s="40" t="s">
        <v>1067</v>
      </c>
      <c r="H2251" s="7" t="s">
        <v>1700</v>
      </c>
      <c r="I2251" s="252">
        <v>150</v>
      </c>
      <c r="J2251" s="252">
        <v>18559</v>
      </c>
      <c r="K2251" s="38">
        <f t="shared" si="131"/>
        <v>2783850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ht="15.75" customHeight="1">
      <c r="A2252" s="204" t="str">
        <f>IF(B2252&lt;&gt;"",IF(AND(B2252&gt;=_TM1,B2252&lt;=_TM2,OR(TH!L2252="1111",TH!M2252="1111")),TH!D2252,""),"")</f>
        <v/>
      </c>
      <c r="B2252" s="36">
        <f t="shared" si="130"/>
        <v>10</v>
      </c>
      <c r="C2252" s="37">
        <f t="shared" si="129"/>
        <v>41192</v>
      </c>
      <c r="D2252" s="191" t="s">
        <v>1708</v>
      </c>
      <c r="E2252" s="37">
        <v>41192</v>
      </c>
      <c r="F2252" s="189" t="s">
        <v>1462</v>
      </c>
      <c r="G2252" s="40" t="s">
        <v>1067</v>
      </c>
      <c r="H2252" s="7" t="s">
        <v>1700</v>
      </c>
      <c r="I2252" s="252">
        <v>50</v>
      </c>
      <c r="J2252" s="252">
        <v>15288</v>
      </c>
      <c r="K2252" s="38">
        <f t="shared" si="131"/>
        <v>764400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ht="15.75" customHeight="1">
      <c r="A2253" s="204" t="str">
        <f>IF(B2253&lt;&gt;"",IF(AND(B2253&gt;=_TM1,B2253&lt;=_TM2,OR(TH!L2253="1111",TH!M2253="1111")),TH!D2253,""),"")</f>
        <v/>
      </c>
      <c r="B2253" s="36">
        <f t="shared" si="130"/>
        <v>10</v>
      </c>
      <c r="C2253" s="37">
        <f t="shared" si="129"/>
        <v>41195</v>
      </c>
      <c r="D2253" s="191" t="s">
        <v>1709</v>
      </c>
      <c r="E2253" s="37">
        <v>41195</v>
      </c>
      <c r="F2253" s="40" t="s">
        <v>1298</v>
      </c>
      <c r="G2253" s="40" t="s">
        <v>434</v>
      </c>
      <c r="H2253" s="7" t="s">
        <v>1700</v>
      </c>
      <c r="I2253" s="252">
        <v>124</v>
      </c>
      <c r="J2253" s="252">
        <v>18306</v>
      </c>
      <c r="K2253" s="38">
        <f t="shared" si="131"/>
        <v>2269944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ht="15.75" customHeight="1">
      <c r="A2254" s="204" t="str">
        <f>IF(B2254&lt;&gt;"",IF(AND(B2254&gt;=_TM1,B2254&lt;=_TM2,OR(TH!L2254="1111",TH!M2254="1111")),TH!D2254,""),"")</f>
        <v/>
      </c>
      <c r="B2254" s="36">
        <f t="shared" si="130"/>
        <v>10</v>
      </c>
      <c r="C2254" s="37">
        <f t="shared" ref="C2254:C2317" si="132">E2254</f>
        <v>41196</v>
      </c>
      <c r="D2254" s="191" t="s">
        <v>1710</v>
      </c>
      <c r="E2254" s="37">
        <v>41196</v>
      </c>
      <c r="F2254" s="40" t="s">
        <v>1462</v>
      </c>
      <c r="G2254" s="40" t="s">
        <v>1068</v>
      </c>
      <c r="H2254" s="7" t="s">
        <v>1700</v>
      </c>
      <c r="I2254" s="252">
        <v>250</v>
      </c>
      <c r="J2254" s="252">
        <v>15288</v>
      </c>
      <c r="K2254" s="38">
        <f t="shared" si="131"/>
        <v>3822000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ht="15.75" customHeight="1">
      <c r="A2255" s="204" t="str">
        <f>IF(B2255&lt;&gt;"",IF(AND(B2255&gt;=_TM1,B2255&lt;=_TM2,OR(TH!L2255="1111",TH!M2255="1111")),TH!D2255,""),"")</f>
        <v/>
      </c>
      <c r="B2255" s="36">
        <f t="shared" si="130"/>
        <v>10</v>
      </c>
      <c r="C2255" s="37">
        <f t="shared" si="132"/>
        <v>41196</v>
      </c>
      <c r="D2255" s="191" t="s">
        <v>1710</v>
      </c>
      <c r="E2255" s="37">
        <v>41196</v>
      </c>
      <c r="F2255" s="40" t="s">
        <v>1298</v>
      </c>
      <c r="G2255" s="40" t="s">
        <v>1068</v>
      </c>
      <c r="H2255" s="7" t="s">
        <v>1700</v>
      </c>
      <c r="I2255" s="252">
        <v>123</v>
      </c>
      <c r="J2255" s="252">
        <v>18306</v>
      </c>
      <c r="K2255" s="38">
        <f t="shared" si="131"/>
        <v>2251638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ht="15.75" customHeight="1">
      <c r="A2256" s="204" t="str">
        <f>IF(B2256&lt;&gt;"",IF(AND(B2256&gt;=_TM1,B2256&lt;=_TM2,OR(TH!L2256="1111",TH!M2256="1111")),TH!D2256,""),"")</f>
        <v/>
      </c>
      <c r="B2256" s="36">
        <f t="shared" si="130"/>
        <v>10</v>
      </c>
      <c r="C2256" s="37">
        <f t="shared" si="132"/>
        <v>41196</v>
      </c>
      <c r="D2256" s="191" t="s">
        <v>1710</v>
      </c>
      <c r="E2256" s="37">
        <v>41196</v>
      </c>
      <c r="F2256" s="297" t="s">
        <v>1337</v>
      </c>
      <c r="G2256" s="40" t="s">
        <v>435</v>
      </c>
      <c r="H2256" s="7" t="s">
        <v>1700</v>
      </c>
      <c r="I2256" s="252">
        <v>26.5</v>
      </c>
      <c r="J2256" s="252">
        <v>13590</v>
      </c>
      <c r="K2256" s="38">
        <f t="shared" si="131"/>
        <v>360135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8" ht="15.75" customHeight="1">
      <c r="A2257" s="204" t="str">
        <f>IF(B2257&lt;&gt;"",IF(AND(B2257&gt;=_TM1,B2257&lt;=_TM2,OR(TH!L2257="1111",TH!M2257="1111")),TH!D2257,""),"")</f>
        <v/>
      </c>
      <c r="B2257" s="36">
        <f t="shared" si="130"/>
        <v>10</v>
      </c>
      <c r="C2257" s="37">
        <f t="shared" si="132"/>
        <v>41196</v>
      </c>
      <c r="D2257" s="191" t="s">
        <v>1710</v>
      </c>
      <c r="E2257" s="37">
        <v>41196</v>
      </c>
      <c r="F2257" s="189" t="s">
        <v>1454</v>
      </c>
      <c r="G2257" s="40" t="s">
        <v>435</v>
      </c>
      <c r="H2257" s="7" t="s">
        <v>1700</v>
      </c>
      <c r="I2257" s="252">
        <v>26</v>
      </c>
      <c r="J2257" s="252">
        <v>14456</v>
      </c>
      <c r="K2257" s="38">
        <f t="shared" si="131"/>
        <v>375856</v>
      </c>
      <c r="L2257" s="39" t="s">
        <v>175</v>
      </c>
      <c r="M2257" s="39" t="s">
        <v>169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B2257" s="211"/>
    </row>
    <row r="2258" spans="1:28" ht="15.75" customHeight="1">
      <c r="A2258" s="204" t="str">
        <f>IF(B2258&lt;&gt;"",IF(AND(B2258&gt;=_TM1,B2258&lt;=_TM2,OR(TH!L2258="1111",TH!M2258="1111")),TH!D2258,""),"")</f>
        <v/>
      </c>
      <c r="B2258" s="36">
        <f t="shared" si="130"/>
        <v>10</v>
      </c>
      <c r="C2258" s="37">
        <f t="shared" si="132"/>
        <v>41198</v>
      </c>
      <c r="D2258" s="191" t="s">
        <v>1711</v>
      </c>
      <c r="E2258" s="37">
        <v>41198</v>
      </c>
      <c r="F2258" s="189" t="s">
        <v>1298</v>
      </c>
      <c r="G2258" s="40" t="s">
        <v>1071</v>
      </c>
      <c r="H2258" s="7" t="s">
        <v>1700</v>
      </c>
      <c r="I2258" s="252">
        <v>350</v>
      </c>
      <c r="J2258" s="252">
        <v>18306</v>
      </c>
      <c r="K2258" s="38">
        <f t="shared" si="131"/>
        <v>6407100</v>
      </c>
      <c r="L2258" s="39" t="s">
        <v>175</v>
      </c>
      <c r="M2258" s="39" t="s">
        <v>169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B2258" s="211"/>
    </row>
    <row r="2259" spans="1:28" ht="15.75" customHeight="1">
      <c r="A2259" s="204" t="str">
        <f>IF(B2259&lt;&gt;"",IF(AND(B2259&gt;=_TM1,B2259&lt;=_TM2,OR(TH!L2259="1111",TH!M2259="1111")),TH!D2259,""),"")</f>
        <v/>
      </c>
      <c r="B2259" s="36">
        <f t="shared" si="130"/>
        <v>10</v>
      </c>
      <c r="C2259" s="37">
        <f t="shared" si="132"/>
        <v>41198</v>
      </c>
      <c r="D2259" s="191" t="s">
        <v>1711</v>
      </c>
      <c r="E2259" s="37">
        <v>41198</v>
      </c>
      <c r="F2259" s="189" t="s">
        <v>1454</v>
      </c>
      <c r="G2259" s="40" t="s">
        <v>1072</v>
      </c>
      <c r="H2259" s="7" t="s">
        <v>1700</v>
      </c>
      <c r="I2259" s="252">
        <v>259</v>
      </c>
      <c r="J2259" s="252">
        <v>14456</v>
      </c>
      <c r="K2259" s="38">
        <f t="shared" si="131"/>
        <v>3744104</v>
      </c>
      <c r="L2259" s="39" t="s">
        <v>175</v>
      </c>
      <c r="M2259" s="39" t="s">
        <v>169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B2259" s="211"/>
    </row>
    <row r="2260" spans="1:28" ht="15.75" customHeight="1">
      <c r="A2260" s="204" t="str">
        <f>IF(B2260&lt;&gt;"",IF(AND(B2260&gt;=_TM1,B2260&lt;=_TM2,OR(TH!L2260="1111",TH!M2260="1111")),TH!D2260,""),"")</f>
        <v/>
      </c>
      <c r="B2260" s="36">
        <f t="shared" si="130"/>
        <v>10</v>
      </c>
      <c r="C2260" s="37">
        <f t="shared" si="132"/>
        <v>41202</v>
      </c>
      <c r="D2260" s="191" t="s">
        <v>1712</v>
      </c>
      <c r="E2260" s="37">
        <v>41202</v>
      </c>
      <c r="F2260" s="189" t="s">
        <v>1460</v>
      </c>
      <c r="G2260" s="40" t="s">
        <v>1073</v>
      </c>
      <c r="H2260" s="7" t="s">
        <v>1700</v>
      </c>
      <c r="I2260" s="252">
        <v>510</v>
      </c>
      <c r="J2260" s="252">
        <v>10681.538922155689</v>
      </c>
      <c r="K2260" s="38">
        <f t="shared" si="131"/>
        <v>5447585</v>
      </c>
      <c r="L2260" s="39" t="s">
        <v>175</v>
      </c>
      <c r="M2260" s="39" t="s">
        <v>169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B2260" s="211"/>
    </row>
    <row r="2261" spans="1:28" ht="15.75" customHeight="1">
      <c r="A2261" s="204" t="str">
        <f>IF(B2261&lt;&gt;"",IF(AND(B2261&gt;=_TM1,B2261&lt;=_TM2,OR(TH!L2261="1111",TH!M2261="1111")),TH!D2261,""),"")</f>
        <v/>
      </c>
      <c r="B2261" s="36">
        <f t="shared" si="130"/>
        <v>10</v>
      </c>
      <c r="C2261" s="37">
        <f t="shared" si="132"/>
        <v>41202</v>
      </c>
      <c r="D2261" s="191" t="s">
        <v>1712</v>
      </c>
      <c r="E2261" s="37">
        <v>41202</v>
      </c>
      <c r="F2261" s="189" t="s">
        <v>1440</v>
      </c>
      <c r="G2261" s="40" t="s">
        <v>1074</v>
      </c>
      <c r="H2261" s="7" t="s">
        <v>1700</v>
      </c>
      <c r="I2261" s="252">
        <v>250</v>
      </c>
      <c r="J2261" s="252">
        <v>13789</v>
      </c>
      <c r="K2261" s="38">
        <f t="shared" si="131"/>
        <v>3447250</v>
      </c>
      <c r="L2261" s="39" t="s">
        <v>175</v>
      </c>
      <c r="M2261" s="39" t="s">
        <v>169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B2261" s="211"/>
    </row>
    <row r="2262" spans="1:28" ht="15.75" customHeight="1">
      <c r="A2262" s="204" t="str">
        <f>IF(B2262&lt;&gt;"",IF(AND(B2262&gt;=_TM1,B2262&lt;=_TM2,OR(TH!L2262="1111",TH!M2262="1111")),TH!D2262,""),"")</f>
        <v/>
      </c>
      <c r="B2262" s="36">
        <f t="shared" si="130"/>
        <v>10</v>
      </c>
      <c r="C2262" s="37">
        <f t="shared" si="132"/>
        <v>41202</v>
      </c>
      <c r="D2262" s="191" t="s">
        <v>1712</v>
      </c>
      <c r="E2262" s="37">
        <v>41202</v>
      </c>
      <c r="F2262" s="189" t="s">
        <v>1288</v>
      </c>
      <c r="G2262" s="40" t="s">
        <v>1074</v>
      </c>
      <c r="H2262" s="7" t="s">
        <v>1700</v>
      </c>
      <c r="I2262" s="252">
        <v>310</v>
      </c>
      <c r="J2262" s="252">
        <v>12073.764705882353</v>
      </c>
      <c r="K2262" s="38">
        <f t="shared" si="131"/>
        <v>3742867</v>
      </c>
      <c r="L2262" s="39" t="s">
        <v>175</v>
      </c>
      <c r="M2262" s="39" t="s">
        <v>169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B2262" s="211"/>
    </row>
    <row r="2263" spans="1:28" ht="15.75" customHeight="1">
      <c r="A2263" s="204" t="str">
        <f>IF(B2263&lt;&gt;"",IF(AND(B2263&gt;=_TM1,B2263&lt;=_TM2,OR(TH!L2263="1111",TH!M2263="1111")),TH!D2263,""),"")</f>
        <v/>
      </c>
      <c r="B2263" s="36">
        <f t="shared" si="130"/>
        <v>10</v>
      </c>
      <c r="C2263" s="37">
        <f t="shared" si="132"/>
        <v>41202</v>
      </c>
      <c r="D2263" s="191" t="s">
        <v>1712</v>
      </c>
      <c r="E2263" s="37">
        <v>41202</v>
      </c>
      <c r="F2263" s="40" t="s">
        <v>1440</v>
      </c>
      <c r="G2263" s="40" t="s">
        <v>1074</v>
      </c>
      <c r="H2263" s="7" t="s">
        <v>1700</v>
      </c>
      <c r="I2263" s="252">
        <v>50</v>
      </c>
      <c r="J2263" s="252">
        <v>13789</v>
      </c>
      <c r="K2263" s="38">
        <f t="shared" si="131"/>
        <v>689450</v>
      </c>
      <c r="L2263" s="39" t="s">
        <v>175</v>
      </c>
      <c r="M2263" s="39" t="s">
        <v>169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B2263" s="211"/>
    </row>
    <row r="2264" spans="1:28" ht="15.75" customHeight="1">
      <c r="A2264" s="204" t="str">
        <f>IF(B2264&lt;&gt;"",IF(AND(B2264&gt;=_TM1,B2264&lt;=_TM2,OR(TH!L2264="1111",TH!M2264="1111")),TH!D2264,""),"")</f>
        <v/>
      </c>
      <c r="B2264" s="36">
        <f t="shared" si="130"/>
        <v>10</v>
      </c>
      <c r="C2264" s="37">
        <f t="shared" si="132"/>
        <v>41202</v>
      </c>
      <c r="D2264" s="191" t="s">
        <v>1712</v>
      </c>
      <c r="E2264" s="37">
        <v>41202</v>
      </c>
      <c r="F2264" s="40" t="s">
        <v>1358</v>
      </c>
      <c r="G2264" s="40" t="s">
        <v>1074</v>
      </c>
      <c r="H2264" s="7" t="s">
        <v>1700</v>
      </c>
      <c r="I2264" s="252">
        <v>168</v>
      </c>
      <c r="J2264" s="252">
        <v>18746</v>
      </c>
      <c r="K2264" s="38">
        <f t="shared" si="131"/>
        <v>3149328</v>
      </c>
      <c r="L2264" s="39" t="s">
        <v>175</v>
      </c>
      <c r="M2264" s="39" t="s">
        <v>169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B2264" s="211"/>
    </row>
    <row r="2265" spans="1:28" s="849" customFormat="1" ht="15.75" customHeight="1">
      <c r="A2265" s="204" t="str">
        <f>IF(B2265&lt;&gt;"",IF(AND(B2265&gt;=_TM1,B2265&lt;=_TM2,OR(TH!L2265="1111",TH!M2265="1111")),TH!D2265,""),"")</f>
        <v/>
      </c>
      <c r="B2265" s="732">
        <f t="shared" si="130"/>
        <v>10</v>
      </c>
      <c r="C2265" s="37">
        <f t="shared" si="132"/>
        <v>41205</v>
      </c>
      <c r="D2265" s="191" t="s">
        <v>1713</v>
      </c>
      <c r="E2265" s="191">
        <v>41205</v>
      </c>
      <c r="F2265" s="297" t="s">
        <v>1358</v>
      </c>
      <c r="G2265" s="40" t="s">
        <v>1075</v>
      </c>
      <c r="H2265" s="7" t="s">
        <v>1700</v>
      </c>
      <c r="I2265" s="252">
        <v>32</v>
      </c>
      <c r="J2265" s="252">
        <v>18746</v>
      </c>
      <c r="K2265" s="38">
        <f t="shared" si="131"/>
        <v>599872</v>
      </c>
      <c r="L2265" s="39" t="s">
        <v>175</v>
      </c>
      <c r="M2265" s="39" t="s">
        <v>169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B2265" s="211"/>
    </row>
    <row r="2266" spans="1:28" s="849" customFormat="1" ht="15.75" customHeight="1">
      <c r="A2266" s="204" t="str">
        <f>IF(B2266&lt;&gt;"",IF(AND(B2266&gt;=_TM1,B2266&lt;=_TM2,OR(TH!L2266="1111",TH!M2266="1111")),TH!D2266,""),"")</f>
        <v/>
      </c>
      <c r="B2266" s="732">
        <f t="shared" si="130"/>
        <v>10</v>
      </c>
      <c r="C2266" s="37">
        <f t="shared" si="132"/>
        <v>41205</v>
      </c>
      <c r="D2266" s="191" t="s">
        <v>1713</v>
      </c>
      <c r="E2266" s="191">
        <v>41205</v>
      </c>
      <c r="F2266" s="297" t="s">
        <v>898</v>
      </c>
      <c r="G2266" s="40" t="s">
        <v>1075</v>
      </c>
      <c r="H2266" s="7" t="s">
        <v>1700</v>
      </c>
      <c r="I2266" s="252">
        <v>214</v>
      </c>
      <c r="J2266" s="252">
        <v>13338</v>
      </c>
      <c r="K2266" s="38">
        <f t="shared" si="131"/>
        <v>2854332</v>
      </c>
      <c r="L2266" s="39" t="s">
        <v>175</v>
      </c>
      <c r="M2266" s="39" t="s">
        <v>169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B2266" s="211"/>
    </row>
    <row r="2267" spans="1:28" s="849" customFormat="1" ht="15.75" customHeight="1">
      <c r="A2267" s="204" t="str">
        <f>IF(B2267&lt;&gt;"",IF(AND(B2267&gt;=_TM1,B2267&lt;=_TM2,OR(TH!L2267="1111",TH!M2267="1111")),TH!D2267,""),"")</f>
        <v/>
      </c>
      <c r="B2267" s="732">
        <f t="shared" si="130"/>
        <v>10</v>
      </c>
      <c r="C2267" s="37">
        <f t="shared" si="132"/>
        <v>41205</v>
      </c>
      <c r="D2267" s="191" t="s">
        <v>1713</v>
      </c>
      <c r="E2267" s="191">
        <v>41205</v>
      </c>
      <c r="F2267" s="297" t="s">
        <v>1457</v>
      </c>
      <c r="G2267" s="40" t="s">
        <v>1075</v>
      </c>
      <c r="H2267" s="7" t="s">
        <v>1700</v>
      </c>
      <c r="I2267" s="252">
        <v>160</v>
      </c>
      <c r="J2267" s="252">
        <v>15120</v>
      </c>
      <c r="K2267" s="38">
        <f t="shared" si="131"/>
        <v>2419200</v>
      </c>
      <c r="L2267" s="39" t="s">
        <v>175</v>
      </c>
      <c r="M2267" s="39" t="s">
        <v>169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B2267" s="211"/>
    </row>
    <row r="2268" spans="1:28" s="849" customFormat="1" ht="15.75" customHeight="1">
      <c r="A2268" s="204" t="str">
        <f>IF(B2268&lt;&gt;"",IF(AND(B2268&gt;=_TM1,B2268&lt;=_TM2,OR(TH!L2268="1111",TH!M2268="1111")),TH!D2268,""),"")</f>
        <v/>
      </c>
      <c r="B2268" s="732">
        <f t="shared" si="130"/>
        <v>10</v>
      </c>
      <c r="C2268" s="37">
        <f t="shared" si="132"/>
        <v>41205</v>
      </c>
      <c r="D2268" s="191" t="s">
        <v>1713</v>
      </c>
      <c r="E2268" s="191">
        <v>41205</v>
      </c>
      <c r="F2268" s="297" t="s">
        <v>1460</v>
      </c>
      <c r="G2268" s="40" t="s">
        <v>1075</v>
      </c>
      <c r="H2268" s="7" t="s">
        <v>1700</v>
      </c>
      <c r="I2268" s="252">
        <v>303</v>
      </c>
      <c r="J2268" s="252">
        <v>10681.538922155689</v>
      </c>
      <c r="K2268" s="38">
        <f t="shared" si="131"/>
        <v>3236506</v>
      </c>
      <c r="L2268" s="39" t="s">
        <v>175</v>
      </c>
      <c r="M2268" s="39" t="s">
        <v>169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B2268" s="211"/>
    </row>
    <row r="2269" spans="1:28" s="849" customFormat="1" ht="15.75" customHeight="1">
      <c r="A2269" s="204" t="str">
        <f>IF(B2269&lt;&gt;"",IF(AND(B2269&gt;=_TM1,B2269&lt;=_TM2,OR(TH!L2269="1111",TH!M2269="1111")),TH!D2269,""),"")</f>
        <v/>
      </c>
      <c r="B2269" s="732">
        <f t="shared" si="130"/>
        <v>10</v>
      </c>
      <c r="C2269" s="37">
        <f t="shared" si="132"/>
        <v>41210</v>
      </c>
      <c r="D2269" s="191" t="s">
        <v>1714</v>
      </c>
      <c r="E2269" s="191">
        <v>41210</v>
      </c>
      <c r="F2269" s="297" t="s">
        <v>1298</v>
      </c>
      <c r="G2269" s="40" t="s">
        <v>1076</v>
      </c>
      <c r="H2269" s="7" t="s">
        <v>1700</v>
      </c>
      <c r="I2269" s="252">
        <v>250</v>
      </c>
      <c r="J2269" s="252">
        <v>18306</v>
      </c>
      <c r="K2269" s="38">
        <f t="shared" si="131"/>
        <v>4576500</v>
      </c>
      <c r="L2269" s="39" t="s">
        <v>175</v>
      </c>
      <c r="M2269" s="39" t="s">
        <v>169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B2269" s="211"/>
    </row>
    <row r="2270" spans="1:28" s="849" customFormat="1" ht="15.75" customHeight="1">
      <c r="A2270" s="204" t="str">
        <f>IF(B2270&lt;&gt;"",IF(AND(B2270&gt;=_TM1,B2270&lt;=_TM2,OR(TH!L2270="1111",TH!M2270="1111")),TH!D2270,""),"")</f>
        <v/>
      </c>
      <c r="B2270" s="732">
        <f t="shared" si="130"/>
        <v>10</v>
      </c>
      <c r="C2270" s="37">
        <f t="shared" si="132"/>
        <v>41210</v>
      </c>
      <c r="D2270" s="191" t="s">
        <v>1714</v>
      </c>
      <c r="E2270" s="191">
        <v>41210</v>
      </c>
      <c r="F2270" s="297" t="s">
        <v>1462</v>
      </c>
      <c r="G2270" s="40" t="s">
        <v>1076</v>
      </c>
      <c r="H2270" s="7" t="s">
        <v>1700</v>
      </c>
      <c r="I2270" s="252">
        <v>100</v>
      </c>
      <c r="J2270" s="252">
        <v>15288</v>
      </c>
      <c r="K2270" s="38">
        <f t="shared" si="131"/>
        <v>1528800</v>
      </c>
      <c r="L2270" s="39" t="s">
        <v>175</v>
      </c>
      <c r="M2270" s="39" t="s">
        <v>169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B2270" s="211"/>
    </row>
    <row r="2271" spans="1:28" s="849" customFormat="1" ht="15.75" customHeight="1">
      <c r="A2271" s="204" t="str">
        <f>IF(B2271&lt;&gt;"",IF(AND(B2271&gt;=_TM1,B2271&lt;=_TM2,OR(TH!L2271="1111",TH!M2271="1111")),TH!D2271,""),"")</f>
        <v/>
      </c>
      <c r="B2271" s="732">
        <f t="shared" si="130"/>
        <v>10</v>
      </c>
      <c r="C2271" s="37">
        <f t="shared" si="132"/>
        <v>41210</v>
      </c>
      <c r="D2271" s="191" t="s">
        <v>1714</v>
      </c>
      <c r="E2271" s="191">
        <v>41210</v>
      </c>
      <c r="F2271" s="297" t="s">
        <v>1355</v>
      </c>
      <c r="G2271" s="40" t="s">
        <v>1078</v>
      </c>
      <c r="H2271" s="7" t="s">
        <v>1700</v>
      </c>
      <c r="I2271" s="252">
        <v>50</v>
      </c>
      <c r="J2271" s="252">
        <v>18314</v>
      </c>
      <c r="K2271" s="38">
        <f t="shared" si="131"/>
        <v>915700</v>
      </c>
      <c r="L2271" s="39" t="s">
        <v>175</v>
      </c>
      <c r="M2271" s="39" t="s">
        <v>169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B2271" s="211"/>
    </row>
    <row r="2272" spans="1:28" s="849" customFormat="1" ht="15.75" customHeight="1">
      <c r="A2272" s="204" t="str">
        <f>IF(B2272&lt;&gt;"",IF(AND(B2272&gt;=_TM1,B2272&lt;=_TM2,OR(TH!L2272="1111",TH!M2272="1111")),TH!D2272,""),"")</f>
        <v/>
      </c>
      <c r="B2272" s="732">
        <f t="shared" si="130"/>
        <v>10</v>
      </c>
      <c r="C2272" s="37">
        <f t="shared" si="132"/>
        <v>41210</v>
      </c>
      <c r="D2272" s="191" t="s">
        <v>1714</v>
      </c>
      <c r="E2272" s="191">
        <v>41210</v>
      </c>
      <c r="F2272" s="297" t="s">
        <v>1355</v>
      </c>
      <c r="G2272" s="40" t="s">
        <v>1078</v>
      </c>
      <c r="H2272" s="7" t="s">
        <v>1700</v>
      </c>
      <c r="I2272" s="252">
        <v>50</v>
      </c>
      <c r="J2272" s="252">
        <v>18314</v>
      </c>
      <c r="K2272" s="38">
        <f t="shared" si="131"/>
        <v>915700</v>
      </c>
      <c r="L2272" s="39" t="s">
        <v>175</v>
      </c>
      <c r="M2272" s="39" t="s">
        <v>169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B2272" s="211"/>
    </row>
    <row r="2273" spans="1:28" s="849" customFormat="1" ht="15.75" customHeight="1">
      <c r="A2273" s="204" t="str">
        <f>IF(B2273&lt;&gt;"",IF(AND(B2273&gt;=_TM1,B2273&lt;=_TM2,OR(TH!L2273="1111",TH!M2273="1111")),TH!D2273,""),"")</f>
        <v/>
      </c>
      <c r="B2273" s="732">
        <f t="shared" si="130"/>
        <v>10</v>
      </c>
      <c r="C2273" s="37">
        <f t="shared" si="132"/>
        <v>41210</v>
      </c>
      <c r="D2273" s="191" t="s">
        <v>1714</v>
      </c>
      <c r="E2273" s="37">
        <v>41210</v>
      </c>
      <c r="F2273" s="297" t="s">
        <v>1355</v>
      </c>
      <c r="G2273" s="40" t="s">
        <v>1078</v>
      </c>
      <c r="H2273" s="7" t="s">
        <v>1700</v>
      </c>
      <c r="I2273" s="252">
        <v>50</v>
      </c>
      <c r="J2273" s="252">
        <v>18314</v>
      </c>
      <c r="K2273" s="38">
        <f t="shared" si="131"/>
        <v>915700</v>
      </c>
      <c r="L2273" s="39" t="s">
        <v>175</v>
      </c>
      <c r="M2273" s="39" t="s">
        <v>169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B2273" s="211"/>
    </row>
    <row r="2274" spans="1:28" s="849" customFormat="1" ht="15.75" customHeight="1">
      <c r="A2274" s="204" t="str">
        <f>IF(B2274&lt;&gt;"",IF(AND(B2274&gt;=_TM1,B2274&lt;=_TM2,OR(TH!L2274="1111",TH!M2274="1111")),TH!D2274,""),"")</f>
        <v/>
      </c>
      <c r="B2274" s="732">
        <f t="shared" si="130"/>
        <v>10</v>
      </c>
      <c r="C2274" s="37">
        <f t="shared" si="132"/>
        <v>41210</v>
      </c>
      <c r="D2274" s="191" t="s">
        <v>1714</v>
      </c>
      <c r="E2274" s="37">
        <v>41210</v>
      </c>
      <c r="F2274" s="297" t="s">
        <v>1266</v>
      </c>
      <c r="G2274" s="40" t="s">
        <v>1078</v>
      </c>
      <c r="H2274" s="7" t="s">
        <v>1700</v>
      </c>
      <c r="I2274" s="252">
        <v>100</v>
      </c>
      <c r="J2274" s="252">
        <v>18559</v>
      </c>
      <c r="K2274" s="38">
        <f t="shared" si="131"/>
        <v>1855900</v>
      </c>
      <c r="L2274" s="39" t="s">
        <v>175</v>
      </c>
      <c r="M2274" s="39" t="s">
        <v>169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B2274" s="211"/>
    </row>
    <row r="2275" spans="1:28" s="849" customFormat="1" ht="15.75" customHeight="1">
      <c r="A2275" s="204" t="str">
        <f>IF(B2275&lt;&gt;"",IF(AND(B2275&gt;=_TM1,B2275&lt;=_TM2,OR(TH!L2275="1111",TH!M2275="1111")),TH!D2275,""),"")</f>
        <v/>
      </c>
      <c r="B2275" s="732">
        <f t="shared" si="130"/>
        <v>10</v>
      </c>
      <c r="C2275" s="37">
        <f t="shared" si="132"/>
        <v>41210</v>
      </c>
      <c r="D2275" s="191" t="s">
        <v>1714</v>
      </c>
      <c r="E2275" s="37">
        <v>41210</v>
      </c>
      <c r="F2275" s="297" t="s">
        <v>1342</v>
      </c>
      <c r="G2275" s="40" t="s">
        <v>1078</v>
      </c>
      <c r="H2275" s="7" t="s">
        <v>1700</v>
      </c>
      <c r="I2275" s="252">
        <v>100</v>
      </c>
      <c r="J2275" s="252">
        <v>8989</v>
      </c>
      <c r="K2275" s="38">
        <f t="shared" si="131"/>
        <v>898900</v>
      </c>
      <c r="L2275" s="39" t="s">
        <v>175</v>
      </c>
      <c r="M2275" s="39" t="s">
        <v>169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B2275" s="211"/>
    </row>
    <row r="2276" spans="1:28" s="849" customFormat="1" ht="15.75" customHeight="1">
      <c r="A2276" s="204" t="str">
        <f>IF(B2276&lt;&gt;"",IF(AND(B2276&gt;=_TM1,B2276&lt;=_TM2,OR(TH!L2276="1111",TH!M2276="1111")),TH!D2276,""),"")</f>
        <v/>
      </c>
      <c r="B2276" s="732">
        <f t="shared" si="130"/>
        <v>10</v>
      </c>
      <c r="C2276" s="37">
        <f t="shared" si="132"/>
        <v>41210</v>
      </c>
      <c r="D2276" s="191" t="s">
        <v>1714</v>
      </c>
      <c r="E2276" s="37">
        <v>41210</v>
      </c>
      <c r="F2276" s="297" t="s">
        <v>1331</v>
      </c>
      <c r="G2276" s="40" t="s">
        <v>1078</v>
      </c>
      <c r="H2276" s="7" t="s">
        <v>1700</v>
      </c>
      <c r="I2276" s="252">
        <v>100</v>
      </c>
      <c r="J2276" s="252">
        <v>18443</v>
      </c>
      <c r="K2276" s="38">
        <f t="shared" si="131"/>
        <v>1844300</v>
      </c>
      <c r="L2276" s="39" t="s">
        <v>175</v>
      </c>
      <c r="M2276" s="39" t="s">
        <v>169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B2276" s="211"/>
    </row>
    <row r="2277" spans="1:28" s="849" customFormat="1" ht="15.75" customHeight="1">
      <c r="A2277" s="204" t="str">
        <f>IF(B2277&lt;&gt;"",IF(AND(B2277&gt;=_TM1,B2277&lt;=_TM2,OR(TH!L2277="1111",TH!M2277="1111")),TH!D2277,""),"")</f>
        <v/>
      </c>
      <c r="B2277" s="732">
        <f t="shared" si="130"/>
        <v>11</v>
      </c>
      <c r="C2277" s="37">
        <f t="shared" si="132"/>
        <v>41223</v>
      </c>
      <c r="D2277" s="191" t="s">
        <v>1715</v>
      </c>
      <c r="E2277" s="37">
        <v>41223</v>
      </c>
      <c r="F2277" s="297" t="s">
        <v>898</v>
      </c>
      <c r="G2277" s="40" t="s">
        <v>1085</v>
      </c>
      <c r="H2277" s="7" t="s">
        <v>1700</v>
      </c>
      <c r="I2277" s="252">
        <v>270</v>
      </c>
      <c r="J2277" s="252">
        <v>13338</v>
      </c>
      <c r="K2277" s="38">
        <f t="shared" si="131"/>
        <v>3601260</v>
      </c>
      <c r="L2277" s="39" t="s">
        <v>175</v>
      </c>
      <c r="M2277" s="39" t="s">
        <v>169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B2277" s="211"/>
    </row>
    <row r="2278" spans="1:28" s="849" customFormat="1" ht="15.75" customHeight="1">
      <c r="A2278" s="204" t="str">
        <f>IF(B2278&lt;&gt;"",IF(AND(B2278&gt;=_TM1,B2278&lt;=_TM2,OR(TH!L2278="1111",TH!M2278="1111")),TH!D2278,""),"")</f>
        <v/>
      </c>
      <c r="B2278" s="732">
        <f t="shared" si="130"/>
        <v>11</v>
      </c>
      <c r="C2278" s="37">
        <f t="shared" si="132"/>
        <v>41223</v>
      </c>
      <c r="D2278" s="191" t="s">
        <v>1715</v>
      </c>
      <c r="E2278" s="37">
        <v>41223</v>
      </c>
      <c r="F2278" s="297" t="s">
        <v>1298</v>
      </c>
      <c r="G2278" s="40" t="s">
        <v>1085</v>
      </c>
      <c r="H2278" s="7" t="s">
        <v>1700</v>
      </c>
      <c r="I2278" s="252">
        <v>305</v>
      </c>
      <c r="J2278" s="252">
        <v>18306</v>
      </c>
      <c r="K2278" s="38">
        <f t="shared" si="131"/>
        <v>5583330</v>
      </c>
      <c r="L2278" s="39" t="s">
        <v>175</v>
      </c>
      <c r="M2278" s="39" t="s">
        <v>169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B2278" s="211"/>
    </row>
    <row r="2279" spans="1:28" s="849" customFormat="1" ht="15.75" customHeight="1">
      <c r="A2279" s="204" t="str">
        <f>IF(B2279&lt;&gt;"",IF(AND(B2279&gt;=_TM1,B2279&lt;=_TM2,OR(TH!L2279="1111",TH!M2279="1111")),TH!D2279,""),"")</f>
        <v/>
      </c>
      <c r="B2279" s="732">
        <f t="shared" si="130"/>
        <v>11</v>
      </c>
      <c r="C2279" s="37">
        <f t="shared" si="132"/>
        <v>41223</v>
      </c>
      <c r="D2279" s="191" t="s">
        <v>1715</v>
      </c>
      <c r="E2279" s="37">
        <v>41223</v>
      </c>
      <c r="F2279" s="297" t="s">
        <v>1358</v>
      </c>
      <c r="G2279" s="40" t="s">
        <v>1085</v>
      </c>
      <c r="H2279" s="7" t="s">
        <v>1700</v>
      </c>
      <c r="I2279" s="252">
        <v>200</v>
      </c>
      <c r="J2279" s="252">
        <v>18746</v>
      </c>
      <c r="K2279" s="38">
        <f t="shared" si="131"/>
        <v>3749200</v>
      </c>
      <c r="L2279" s="39" t="s">
        <v>175</v>
      </c>
      <c r="M2279" s="39" t="s">
        <v>169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B2279" s="211"/>
    </row>
    <row r="2280" spans="1:28" s="849" customFormat="1" ht="15.75" customHeight="1">
      <c r="A2280" s="204" t="str">
        <f>IF(B2280&lt;&gt;"",IF(AND(B2280&gt;=_TM1,B2280&lt;=_TM2,OR(TH!L2280="1111",TH!M2280="1111")),TH!D2280,""),"")</f>
        <v/>
      </c>
      <c r="B2280" s="732">
        <f t="shared" si="130"/>
        <v>11</v>
      </c>
      <c r="C2280" s="37">
        <f t="shared" si="132"/>
        <v>41225</v>
      </c>
      <c r="D2280" s="191" t="s">
        <v>1716</v>
      </c>
      <c r="E2280" s="37">
        <v>41225</v>
      </c>
      <c r="F2280" s="297" t="s">
        <v>1298</v>
      </c>
      <c r="G2280" s="40" t="s">
        <v>1086</v>
      </c>
      <c r="H2280" s="7" t="s">
        <v>1700</v>
      </c>
      <c r="I2280" s="252">
        <v>127</v>
      </c>
      <c r="J2280" s="252">
        <v>18306</v>
      </c>
      <c r="K2280" s="38">
        <f t="shared" si="131"/>
        <v>2324862</v>
      </c>
      <c r="L2280" s="39" t="s">
        <v>175</v>
      </c>
      <c r="M2280" s="39" t="s">
        <v>169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B2280" s="211"/>
    </row>
    <row r="2281" spans="1:28" s="849" customFormat="1" ht="15.75" customHeight="1">
      <c r="A2281" s="204" t="str">
        <f>IF(B2281&lt;&gt;"",IF(AND(B2281&gt;=_TM1,B2281&lt;=_TM2,OR(TH!L2281="1111",TH!M2281="1111")),TH!D2281,""),"")</f>
        <v/>
      </c>
      <c r="B2281" s="732">
        <f t="shared" ref="B2281:B2344" si="133">IF(C2281&lt;&gt;"",MONTH(C2281),"")</f>
        <v>11</v>
      </c>
      <c r="C2281" s="37">
        <f t="shared" si="132"/>
        <v>41225</v>
      </c>
      <c r="D2281" s="191" t="s">
        <v>1716</v>
      </c>
      <c r="E2281" s="37">
        <v>41225</v>
      </c>
      <c r="F2281" s="297" t="s">
        <v>1337</v>
      </c>
      <c r="G2281" s="40" t="s">
        <v>1086</v>
      </c>
      <c r="H2281" s="7" t="s">
        <v>1700</v>
      </c>
      <c r="I2281" s="252">
        <v>2.75</v>
      </c>
      <c r="J2281" s="252">
        <v>13589.818181818182</v>
      </c>
      <c r="K2281" s="38">
        <f t="shared" si="131"/>
        <v>37372</v>
      </c>
      <c r="L2281" s="39" t="s">
        <v>175</v>
      </c>
      <c r="M2281" s="39" t="s">
        <v>169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B2281" s="211"/>
    </row>
    <row r="2282" spans="1:28" s="849" customFormat="1" ht="15.75" customHeight="1">
      <c r="A2282" s="204" t="str">
        <f>IF(B2282&lt;&gt;"",IF(AND(B2282&gt;=_TM1,B2282&lt;=_TM2,OR(TH!L2282="1111",TH!M2282="1111")),TH!D2282,""),"")</f>
        <v/>
      </c>
      <c r="B2282" s="732">
        <f t="shared" si="133"/>
        <v>11</v>
      </c>
      <c r="C2282" s="37">
        <f t="shared" si="132"/>
        <v>41225</v>
      </c>
      <c r="D2282" s="191" t="s">
        <v>1716</v>
      </c>
      <c r="E2282" s="37">
        <v>41225</v>
      </c>
      <c r="F2282" s="297" t="s">
        <v>1363</v>
      </c>
      <c r="G2282" s="40" t="s">
        <v>1087</v>
      </c>
      <c r="H2282" s="7" t="s">
        <v>1700</v>
      </c>
      <c r="I2282" s="252">
        <v>503</v>
      </c>
      <c r="J2282" s="252">
        <v>19979</v>
      </c>
      <c r="K2282" s="38">
        <f t="shared" si="131"/>
        <v>10049437</v>
      </c>
      <c r="L2282" s="39" t="s">
        <v>175</v>
      </c>
      <c r="M2282" s="39" t="s">
        <v>169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B2282" s="211"/>
    </row>
    <row r="2283" spans="1:28" s="849" customFormat="1" ht="15.75" customHeight="1">
      <c r="A2283" s="204" t="str">
        <f>IF(B2283&lt;&gt;"",IF(AND(B2283&gt;=_TM1,B2283&lt;=_TM2,OR(TH!L2283="1111",TH!M2283="1111")),TH!D2283,""),"")</f>
        <v/>
      </c>
      <c r="B2283" s="732">
        <f t="shared" si="133"/>
        <v>11</v>
      </c>
      <c r="C2283" s="37">
        <f t="shared" si="132"/>
        <v>41232</v>
      </c>
      <c r="D2283" s="191" t="s">
        <v>1717</v>
      </c>
      <c r="E2283" s="37">
        <v>41232</v>
      </c>
      <c r="F2283" s="297" t="s">
        <v>1462</v>
      </c>
      <c r="G2283" s="40" t="s">
        <v>1088</v>
      </c>
      <c r="H2283" s="7" t="s">
        <v>1700</v>
      </c>
      <c r="I2283" s="252">
        <v>110</v>
      </c>
      <c r="J2283" s="252">
        <v>15288</v>
      </c>
      <c r="K2283" s="38">
        <f t="shared" si="131"/>
        <v>1681680</v>
      </c>
      <c r="L2283" s="39" t="s">
        <v>175</v>
      </c>
      <c r="M2283" s="39" t="s">
        <v>169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B2283" s="211"/>
    </row>
    <row r="2284" spans="1:28" s="849" customFormat="1" ht="15.75" customHeight="1">
      <c r="A2284" s="204" t="str">
        <f>IF(B2284&lt;&gt;"",IF(AND(B2284&gt;=_TM1,B2284&lt;=_TM2,OR(TH!L2284="1111",TH!M2284="1111")),TH!D2284,""),"")</f>
        <v/>
      </c>
      <c r="B2284" s="732">
        <f t="shared" si="133"/>
        <v>11</v>
      </c>
      <c r="C2284" s="37">
        <f t="shared" si="132"/>
        <v>41232</v>
      </c>
      <c r="D2284" s="191" t="s">
        <v>1717</v>
      </c>
      <c r="E2284" s="37">
        <v>41232</v>
      </c>
      <c r="F2284" s="297" t="s">
        <v>1301</v>
      </c>
      <c r="G2284" s="40" t="s">
        <v>1088</v>
      </c>
      <c r="H2284" s="7" t="s">
        <v>1700</v>
      </c>
      <c r="I2284" s="252">
        <v>100</v>
      </c>
      <c r="J2284" s="252">
        <v>25240</v>
      </c>
      <c r="K2284" s="38">
        <f t="shared" si="131"/>
        <v>2524000</v>
      </c>
      <c r="L2284" s="39" t="s">
        <v>175</v>
      </c>
      <c r="M2284" s="39" t="s">
        <v>169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B2284" s="211"/>
    </row>
    <row r="2285" spans="1:28" s="849" customFormat="1" ht="15.75" customHeight="1">
      <c r="A2285" s="204" t="str">
        <f>IF(B2285&lt;&gt;"",IF(AND(B2285&gt;=_TM1,B2285&lt;=_TM2,OR(TH!L2285="1111",TH!M2285="1111")),TH!D2285,""),"")</f>
        <v/>
      </c>
      <c r="B2285" s="732">
        <f t="shared" si="133"/>
        <v>11</v>
      </c>
      <c r="C2285" s="37">
        <f t="shared" si="132"/>
        <v>41232</v>
      </c>
      <c r="D2285" s="191" t="s">
        <v>1717</v>
      </c>
      <c r="E2285" s="37">
        <v>41232</v>
      </c>
      <c r="F2285" s="297" t="s">
        <v>1343</v>
      </c>
      <c r="G2285" s="40" t="s">
        <v>1088</v>
      </c>
      <c r="H2285" s="7" t="s">
        <v>1700</v>
      </c>
      <c r="I2285" s="252">
        <v>150</v>
      </c>
      <c r="J2285" s="252">
        <v>15665</v>
      </c>
      <c r="K2285" s="38">
        <f t="shared" si="131"/>
        <v>2349750</v>
      </c>
      <c r="L2285" s="39" t="s">
        <v>175</v>
      </c>
      <c r="M2285" s="39" t="s">
        <v>169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B2285" s="211"/>
    </row>
    <row r="2286" spans="1:28" s="849" customFormat="1" ht="15.75" customHeight="1">
      <c r="A2286" s="204" t="str">
        <f>IF(B2286&lt;&gt;"",IF(AND(B2286&gt;=_TM1,B2286&lt;=_TM2,OR(TH!L2286="1111",TH!M2286="1111")),TH!D2286,""),"")</f>
        <v/>
      </c>
      <c r="B2286" s="732">
        <f t="shared" si="133"/>
        <v>11</v>
      </c>
      <c r="C2286" s="37">
        <f t="shared" si="132"/>
        <v>41232</v>
      </c>
      <c r="D2286" s="191" t="s">
        <v>1717</v>
      </c>
      <c r="E2286" s="37">
        <v>41232</v>
      </c>
      <c r="F2286" s="297" t="s">
        <v>733</v>
      </c>
      <c r="G2286" s="40" t="s">
        <v>1088</v>
      </c>
      <c r="H2286" s="7" t="s">
        <v>1700</v>
      </c>
      <c r="I2286" s="252">
        <v>300</v>
      </c>
      <c r="J2286" s="252">
        <v>8640</v>
      </c>
      <c r="K2286" s="38">
        <f t="shared" si="131"/>
        <v>2592000</v>
      </c>
      <c r="L2286" s="39" t="s">
        <v>175</v>
      </c>
      <c r="M2286" s="39" t="s">
        <v>169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B2286" s="211"/>
    </row>
    <row r="2287" spans="1:28" s="849" customFormat="1" ht="15.75" customHeight="1">
      <c r="A2287" s="204" t="str">
        <f>IF(B2287&lt;&gt;"",IF(AND(B2287&gt;=_TM1,B2287&lt;=_TM2,OR(TH!L2287="1111",TH!M2287="1111")),TH!D2287,""),"")</f>
        <v/>
      </c>
      <c r="B2287" s="732">
        <f t="shared" si="133"/>
        <v>11</v>
      </c>
      <c r="C2287" s="37">
        <f t="shared" si="132"/>
        <v>41241</v>
      </c>
      <c r="D2287" s="191" t="s">
        <v>1718</v>
      </c>
      <c r="E2287" s="37">
        <v>41241</v>
      </c>
      <c r="F2287" s="297" t="s">
        <v>1460</v>
      </c>
      <c r="G2287" s="40" t="s">
        <v>1089</v>
      </c>
      <c r="H2287" s="7" t="s">
        <v>1700</v>
      </c>
      <c r="I2287" s="252">
        <v>525</v>
      </c>
      <c r="J2287" s="252">
        <v>10681.538922155689</v>
      </c>
      <c r="K2287" s="38">
        <f t="shared" si="131"/>
        <v>5607808</v>
      </c>
      <c r="L2287" s="39" t="s">
        <v>175</v>
      </c>
      <c r="M2287" s="39" t="s">
        <v>169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B2287" s="211"/>
    </row>
    <row r="2288" spans="1:28" s="849" customFormat="1" ht="15.75" customHeight="1">
      <c r="A2288" s="204" t="str">
        <f>IF(B2288&lt;&gt;"",IF(AND(B2288&gt;=_TM1,B2288&lt;=_TM2,OR(TH!L2288="1111",TH!M2288="1111")),TH!D2288,""),"")</f>
        <v/>
      </c>
      <c r="B2288" s="732">
        <f t="shared" si="133"/>
        <v>12</v>
      </c>
      <c r="C2288" s="37">
        <f t="shared" si="132"/>
        <v>41250</v>
      </c>
      <c r="D2288" s="191" t="s">
        <v>1719</v>
      </c>
      <c r="E2288" s="37">
        <v>41250</v>
      </c>
      <c r="F2288" s="297" t="s">
        <v>1288</v>
      </c>
      <c r="G2288" s="40" t="s">
        <v>1090</v>
      </c>
      <c r="H2288" s="7" t="s">
        <v>1700</v>
      </c>
      <c r="I2288" s="252">
        <v>250</v>
      </c>
      <c r="J2288" s="252">
        <v>12073.764705882353</v>
      </c>
      <c r="K2288" s="38">
        <f t="shared" si="131"/>
        <v>3018441</v>
      </c>
      <c r="L2288" s="39" t="s">
        <v>175</v>
      </c>
      <c r="M2288" s="39" t="s">
        <v>169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B2288" s="211"/>
    </row>
    <row r="2289" spans="1:28" s="849" customFormat="1" ht="15.75" customHeight="1">
      <c r="A2289" s="204" t="str">
        <f>IF(B2289&lt;&gt;"",IF(AND(B2289&gt;=_TM1,B2289&lt;=_TM2,OR(TH!L2289="1111",TH!M2289="1111")),TH!D2289,""),"")</f>
        <v/>
      </c>
      <c r="B2289" s="732">
        <f t="shared" si="133"/>
        <v>12</v>
      </c>
      <c r="C2289" s="37">
        <f t="shared" si="132"/>
        <v>41250</v>
      </c>
      <c r="D2289" s="191" t="s">
        <v>1719</v>
      </c>
      <c r="E2289" s="37">
        <v>41250</v>
      </c>
      <c r="F2289" s="297" t="s">
        <v>1360</v>
      </c>
      <c r="G2289" s="40" t="s">
        <v>1090</v>
      </c>
      <c r="H2289" s="7" t="s">
        <v>1700</v>
      </c>
      <c r="I2289" s="252">
        <v>100</v>
      </c>
      <c r="J2289" s="252">
        <v>28596</v>
      </c>
      <c r="K2289" s="38">
        <f t="shared" si="131"/>
        <v>2859600</v>
      </c>
      <c r="L2289" s="39" t="s">
        <v>175</v>
      </c>
      <c r="M2289" s="39" t="s">
        <v>169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B2289" s="211"/>
    </row>
    <row r="2290" spans="1:28" s="849" customFormat="1" ht="15.75" customHeight="1">
      <c r="A2290" s="204" t="str">
        <f>IF(B2290&lt;&gt;"",IF(AND(B2290&gt;=_TM1,B2290&lt;=_TM2,OR(TH!L2290="1111",TH!M2290="1111")),TH!D2290,""),"")</f>
        <v/>
      </c>
      <c r="B2290" s="732">
        <f t="shared" si="133"/>
        <v>12</v>
      </c>
      <c r="C2290" s="37">
        <f t="shared" si="132"/>
        <v>41250</v>
      </c>
      <c r="D2290" s="191" t="s">
        <v>1719</v>
      </c>
      <c r="E2290" s="37">
        <v>41250</v>
      </c>
      <c r="F2290" s="297" t="s">
        <v>1441</v>
      </c>
      <c r="G2290" s="40" t="s">
        <v>1090</v>
      </c>
      <c r="H2290" s="7" t="s">
        <v>1700</v>
      </c>
      <c r="I2290" s="252">
        <v>255</v>
      </c>
      <c r="J2290" s="252">
        <v>9324</v>
      </c>
      <c r="K2290" s="38">
        <f t="shared" si="131"/>
        <v>2377620</v>
      </c>
      <c r="L2290" s="39" t="s">
        <v>175</v>
      </c>
      <c r="M2290" s="39" t="s">
        <v>169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B2290" s="211"/>
    </row>
    <row r="2291" spans="1:28" s="849" customFormat="1" ht="15.75" customHeight="1">
      <c r="A2291" s="204" t="str">
        <f>IF(B2291&lt;&gt;"",IF(AND(B2291&gt;=_TM1,B2291&lt;=_TM2,OR(TH!L2291="1111",TH!M2291="1111")),TH!D2291,""),"")</f>
        <v/>
      </c>
      <c r="B2291" s="732">
        <f t="shared" si="133"/>
        <v>12</v>
      </c>
      <c r="C2291" s="37">
        <f t="shared" si="132"/>
        <v>41259</v>
      </c>
      <c r="D2291" s="191" t="s">
        <v>1720</v>
      </c>
      <c r="E2291" s="37">
        <v>41259</v>
      </c>
      <c r="F2291" s="297" t="s">
        <v>1298</v>
      </c>
      <c r="G2291" s="40" t="s">
        <v>1092</v>
      </c>
      <c r="H2291" s="7" t="s">
        <v>1700</v>
      </c>
      <c r="I2291" s="252">
        <v>133</v>
      </c>
      <c r="J2291" s="252">
        <v>18306</v>
      </c>
      <c r="K2291" s="38">
        <f t="shared" si="131"/>
        <v>2434698</v>
      </c>
      <c r="L2291" s="39" t="s">
        <v>175</v>
      </c>
      <c r="M2291" s="39" t="s">
        <v>169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B2291" s="211"/>
    </row>
    <row r="2292" spans="1:28" s="849" customFormat="1" ht="15.75" customHeight="1">
      <c r="A2292" s="204" t="str">
        <f>IF(B2292&lt;&gt;"",IF(AND(B2292&gt;=_TM1,B2292&lt;=_TM2,OR(TH!L2292="1111",TH!M2292="1111")),TH!D2292,""),"")</f>
        <v/>
      </c>
      <c r="B2292" s="732">
        <f t="shared" si="133"/>
        <v>12</v>
      </c>
      <c r="C2292" s="37">
        <f t="shared" si="132"/>
        <v>41259</v>
      </c>
      <c r="D2292" s="191" t="s">
        <v>1720</v>
      </c>
      <c r="E2292" s="37">
        <v>41259</v>
      </c>
      <c r="F2292" s="297" t="s">
        <v>1457</v>
      </c>
      <c r="G2292" s="40" t="s">
        <v>1094</v>
      </c>
      <c r="H2292" s="7" t="s">
        <v>1700</v>
      </c>
      <c r="I2292" s="252">
        <v>166</v>
      </c>
      <c r="J2292" s="252">
        <v>15120</v>
      </c>
      <c r="K2292" s="38">
        <f t="shared" si="131"/>
        <v>2509920</v>
      </c>
      <c r="L2292" s="39" t="s">
        <v>175</v>
      </c>
      <c r="M2292" s="39" t="s">
        <v>169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B2292" s="211"/>
    </row>
    <row r="2293" spans="1:28" s="849" customFormat="1" ht="15.75" customHeight="1">
      <c r="A2293" s="204" t="str">
        <f>IF(B2293&lt;&gt;"",IF(AND(B2293&gt;=_TM1,B2293&lt;=_TM2,OR(TH!L2293="1111",TH!M2293="1111")),TH!D2293,""),"")</f>
        <v/>
      </c>
      <c r="B2293" s="732">
        <f t="shared" si="133"/>
        <v>12</v>
      </c>
      <c r="C2293" s="37">
        <f t="shared" si="132"/>
        <v>41259</v>
      </c>
      <c r="D2293" s="191" t="s">
        <v>1720</v>
      </c>
      <c r="E2293" s="37">
        <v>41259</v>
      </c>
      <c r="F2293" s="297" t="s">
        <v>1457</v>
      </c>
      <c r="G2293" s="40" t="s">
        <v>1094</v>
      </c>
      <c r="H2293" s="7" t="s">
        <v>1700</v>
      </c>
      <c r="I2293" s="252">
        <v>14</v>
      </c>
      <c r="J2293" s="252">
        <v>15120</v>
      </c>
      <c r="K2293" s="38">
        <f t="shared" si="131"/>
        <v>211680</v>
      </c>
      <c r="L2293" s="39" t="s">
        <v>175</v>
      </c>
      <c r="M2293" s="39" t="s">
        <v>169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B2293" s="211"/>
    </row>
    <row r="2294" spans="1:28" s="849" customFormat="1" ht="15.75" customHeight="1">
      <c r="A2294" s="204" t="str">
        <f>IF(B2294&lt;&gt;"",IF(AND(B2294&gt;=_TM1,B2294&lt;=_TM2,OR(TH!L2294="1111",TH!M2294="1111")),TH!D2294,""),"")</f>
        <v/>
      </c>
      <c r="B2294" s="732">
        <f t="shared" si="133"/>
        <v>12</v>
      </c>
      <c r="C2294" s="37">
        <f t="shared" si="132"/>
        <v>41259</v>
      </c>
      <c r="D2294" s="191" t="s">
        <v>1720</v>
      </c>
      <c r="E2294" s="37">
        <v>41259</v>
      </c>
      <c r="F2294" s="297" t="s">
        <v>1441</v>
      </c>
      <c r="G2294" s="40" t="s">
        <v>1094</v>
      </c>
      <c r="H2294" s="7" t="s">
        <v>1700</v>
      </c>
      <c r="I2294" s="252">
        <v>45</v>
      </c>
      <c r="J2294" s="252">
        <v>9324</v>
      </c>
      <c r="K2294" s="38">
        <f t="shared" si="131"/>
        <v>419580</v>
      </c>
      <c r="L2294" s="39" t="s">
        <v>175</v>
      </c>
      <c r="M2294" s="39" t="s">
        <v>169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B2294" s="211"/>
    </row>
    <row r="2295" spans="1:28" s="849" customFormat="1" ht="15.75" customHeight="1">
      <c r="A2295" s="204" t="str">
        <f>IF(B2295&lt;&gt;"",IF(AND(B2295&gt;=_TM1,B2295&lt;=_TM2,OR(TH!L2295="1111",TH!M2295="1111")),TH!D2295,""),"")</f>
        <v/>
      </c>
      <c r="B2295" s="732">
        <f t="shared" si="133"/>
        <v>12</v>
      </c>
      <c r="C2295" s="37">
        <f t="shared" si="132"/>
        <v>41259</v>
      </c>
      <c r="D2295" s="191" t="s">
        <v>1720</v>
      </c>
      <c r="E2295" s="37">
        <v>41259</v>
      </c>
      <c r="F2295" s="297" t="s">
        <v>1416</v>
      </c>
      <c r="G2295" s="40" t="s">
        <v>1094</v>
      </c>
      <c r="H2295" s="7" t="s">
        <v>1700</v>
      </c>
      <c r="I2295" s="252">
        <v>150</v>
      </c>
      <c r="J2295" s="252">
        <v>4864</v>
      </c>
      <c r="K2295" s="38">
        <f t="shared" si="131"/>
        <v>729600</v>
      </c>
      <c r="L2295" s="39" t="s">
        <v>175</v>
      </c>
      <c r="M2295" s="39" t="s">
        <v>169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B2295" s="211"/>
    </row>
    <row r="2296" spans="1:28" s="849" customFormat="1" ht="15.75" customHeight="1">
      <c r="A2296" s="204" t="str">
        <f>IF(B2296&lt;&gt;"",IF(AND(B2296&gt;=_TM1,B2296&lt;=_TM2,OR(TH!L2296="1111",TH!M2296="1111")),TH!D2296,""),"")</f>
        <v/>
      </c>
      <c r="B2296" s="732">
        <f t="shared" si="133"/>
        <v>12</v>
      </c>
      <c r="C2296" s="37">
        <f t="shared" si="132"/>
        <v>41260</v>
      </c>
      <c r="D2296" s="191" t="s">
        <v>1721</v>
      </c>
      <c r="E2296" s="37">
        <v>41260</v>
      </c>
      <c r="F2296" s="297" t="s">
        <v>1337</v>
      </c>
      <c r="G2296" s="40" t="s">
        <v>1096</v>
      </c>
      <c r="H2296" s="7" t="s">
        <v>1700</v>
      </c>
      <c r="I2296" s="252">
        <v>54.75</v>
      </c>
      <c r="J2296" s="252">
        <v>13590</v>
      </c>
      <c r="K2296" s="38">
        <f t="shared" si="131"/>
        <v>744053</v>
      </c>
      <c r="L2296" s="39" t="s">
        <v>175</v>
      </c>
      <c r="M2296" s="39" t="s">
        <v>169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B2296" s="211"/>
    </row>
    <row r="2297" spans="1:28" s="849" customFormat="1" ht="15.75" customHeight="1">
      <c r="A2297" s="204" t="str">
        <f>IF(B2297&lt;&gt;"",IF(AND(B2297&gt;=_TM1,B2297&lt;=_TM2,OR(TH!L2297="1111",TH!M2297="1111")),TH!D2297,""),"")</f>
        <v/>
      </c>
      <c r="B2297" s="732">
        <f t="shared" si="133"/>
        <v>12</v>
      </c>
      <c r="C2297" s="37">
        <f t="shared" si="132"/>
        <v>41260</v>
      </c>
      <c r="D2297" s="191" t="s">
        <v>1721</v>
      </c>
      <c r="E2297" s="37">
        <v>41260</v>
      </c>
      <c r="F2297" s="192" t="s">
        <v>1454</v>
      </c>
      <c r="G2297" s="40" t="s">
        <v>1096</v>
      </c>
      <c r="H2297" s="7" t="s">
        <v>1700</v>
      </c>
      <c r="I2297" s="252">
        <v>25</v>
      </c>
      <c r="J2297" s="252">
        <v>14456</v>
      </c>
      <c r="K2297" s="38">
        <f t="shared" si="131"/>
        <v>361400</v>
      </c>
      <c r="L2297" s="39" t="s">
        <v>175</v>
      </c>
      <c r="M2297" s="39" t="s">
        <v>169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B2297" s="211"/>
    </row>
    <row r="2298" spans="1:28" s="849" customFormat="1" ht="15.75" customHeight="1">
      <c r="A2298" s="204" t="str">
        <f>IF(B2298&lt;&gt;"",IF(AND(B2298&gt;=_TM1,B2298&lt;=_TM2,OR(TH!L2298="1111",TH!M2298="1111")),TH!D2298,""),"")</f>
        <v/>
      </c>
      <c r="B2298" s="732">
        <f t="shared" si="133"/>
        <v>12</v>
      </c>
      <c r="C2298" s="37">
        <f t="shared" si="132"/>
        <v>41260</v>
      </c>
      <c r="D2298" s="191" t="s">
        <v>1721</v>
      </c>
      <c r="E2298" s="37">
        <v>41260</v>
      </c>
      <c r="F2298" s="297" t="s">
        <v>1337</v>
      </c>
      <c r="G2298" s="40" t="s">
        <v>1096</v>
      </c>
      <c r="H2298" s="7" t="s">
        <v>1700</v>
      </c>
      <c r="I2298" s="252">
        <v>26</v>
      </c>
      <c r="J2298" s="252">
        <v>13590</v>
      </c>
      <c r="K2298" s="38">
        <f t="shared" si="131"/>
        <v>353340</v>
      </c>
      <c r="L2298" s="39" t="s">
        <v>175</v>
      </c>
      <c r="M2298" s="39" t="s">
        <v>169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B2298" s="211"/>
    </row>
    <row r="2299" spans="1:28" s="849" customFormat="1" ht="15.75" customHeight="1">
      <c r="A2299" s="204" t="str">
        <f>IF(B2299&lt;&gt;"",IF(AND(B2299&gt;=_TM1,B2299&lt;=_TM2,OR(TH!L2299="1111",TH!M2299="1111")),TH!D2299,""),"")</f>
        <v/>
      </c>
      <c r="B2299" s="732">
        <f t="shared" si="133"/>
        <v>12</v>
      </c>
      <c r="C2299" s="37">
        <f t="shared" si="132"/>
        <v>41260</v>
      </c>
      <c r="D2299" s="191" t="s">
        <v>1721</v>
      </c>
      <c r="E2299" s="37">
        <v>41260</v>
      </c>
      <c r="F2299" s="297" t="s">
        <v>1454</v>
      </c>
      <c r="G2299" s="40" t="s">
        <v>1096</v>
      </c>
      <c r="H2299" s="7" t="s">
        <v>1700</v>
      </c>
      <c r="I2299" s="252">
        <v>29</v>
      </c>
      <c r="J2299" s="252">
        <v>14456</v>
      </c>
      <c r="K2299" s="38">
        <f t="shared" si="131"/>
        <v>419224</v>
      </c>
      <c r="L2299" s="39" t="s">
        <v>175</v>
      </c>
      <c r="M2299" s="39" t="s">
        <v>169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B2299" s="211"/>
    </row>
    <row r="2300" spans="1:28" s="849" customFormat="1" ht="15.75" customHeight="1">
      <c r="A2300" s="204" t="str">
        <f>IF(B2300&lt;&gt;"",IF(AND(B2300&gt;=_TM1,B2300&lt;=_TM2,OR(TH!L2300="1111",TH!M2300="1111")),TH!D2300,""),"")</f>
        <v/>
      </c>
      <c r="B2300" s="732">
        <f t="shared" si="133"/>
        <v>12</v>
      </c>
      <c r="C2300" s="37">
        <f t="shared" si="132"/>
        <v>41260</v>
      </c>
      <c r="D2300" s="191" t="s">
        <v>1721</v>
      </c>
      <c r="E2300" s="37">
        <v>41260</v>
      </c>
      <c r="F2300" s="297" t="s">
        <v>1323</v>
      </c>
      <c r="G2300" s="40" t="s">
        <v>1096</v>
      </c>
      <c r="H2300" s="7" t="s">
        <v>1700</v>
      </c>
      <c r="I2300" s="252">
        <v>40</v>
      </c>
      <c r="J2300" s="252">
        <v>28207</v>
      </c>
      <c r="K2300" s="38">
        <f t="shared" si="131"/>
        <v>1128280</v>
      </c>
      <c r="L2300" s="39" t="s">
        <v>175</v>
      </c>
      <c r="M2300" s="39" t="s">
        <v>169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B2300" s="211"/>
    </row>
    <row r="2301" spans="1:28" s="849" customFormat="1" ht="15.75" customHeight="1">
      <c r="A2301" s="204" t="str">
        <f>IF(B2301&lt;&gt;"",IF(AND(B2301&gt;=_TM1,B2301&lt;=_TM2,OR(TH!L2301="1111",TH!M2301="1111")),TH!D2301,""),"")</f>
        <v/>
      </c>
      <c r="B2301" s="732">
        <f t="shared" si="133"/>
        <v>12</v>
      </c>
      <c r="C2301" s="37">
        <f t="shared" si="132"/>
        <v>41262</v>
      </c>
      <c r="D2301" s="191" t="s">
        <v>1722</v>
      </c>
      <c r="E2301" s="37">
        <v>41262</v>
      </c>
      <c r="F2301" s="297" t="s">
        <v>1300</v>
      </c>
      <c r="G2301" s="40" t="s">
        <v>1099</v>
      </c>
      <c r="H2301" s="7" t="s">
        <v>1700</v>
      </c>
      <c r="I2301" s="252">
        <v>100</v>
      </c>
      <c r="J2301" s="252">
        <v>18559</v>
      </c>
      <c r="K2301" s="38">
        <f t="shared" si="131"/>
        <v>1855900</v>
      </c>
      <c r="L2301" s="39" t="s">
        <v>175</v>
      </c>
      <c r="M2301" s="39" t="s">
        <v>169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B2301" s="211"/>
    </row>
    <row r="2302" spans="1:28" s="849" customFormat="1" ht="15.75" customHeight="1">
      <c r="A2302" s="204" t="str">
        <f>IF(B2302&lt;&gt;"",IF(AND(B2302&gt;=_TM1,B2302&lt;=_TM2,OR(TH!L2302="1111",TH!M2302="1111")),TH!D2302,""),"")</f>
        <v/>
      </c>
      <c r="B2302" s="732">
        <f t="shared" si="133"/>
        <v>12</v>
      </c>
      <c r="C2302" s="37">
        <f t="shared" si="132"/>
        <v>41262</v>
      </c>
      <c r="D2302" s="191" t="s">
        <v>1722</v>
      </c>
      <c r="E2302" s="37">
        <v>41262</v>
      </c>
      <c r="F2302" s="297" t="s">
        <v>898</v>
      </c>
      <c r="G2302" s="40" t="s">
        <v>1100</v>
      </c>
      <c r="H2302" s="7" t="s">
        <v>1700</v>
      </c>
      <c r="I2302" s="252">
        <v>270</v>
      </c>
      <c r="J2302" s="252">
        <v>13338</v>
      </c>
      <c r="K2302" s="38">
        <f t="shared" si="131"/>
        <v>3601260</v>
      </c>
      <c r="L2302" s="39" t="s">
        <v>175</v>
      </c>
      <c r="M2302" s="39" t="s">
        <v>169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B2302" s="211"/>
    </row>
    <row r="2303" spans="1:28" s="849" customFormat="1" ht="15.75" customHeight="1">
      <c r="A2303" s="204" t="str">
        <f>IF(B2303&lt;&gt;"",IF(AND(B2303&gt;=_TM1,B2303&lt;=_TM2,OR(TH!L2303="1111",TH!M2303="1111")),TH!D2303,""),"")</f>
        <v/>
      </c>
      <c r="B2303" s="732">
        <f t="shared" si="133"/>
        <v>12</v>
      </c>
      <c r="C2303" s="37">
        <f t="shared" si="132"/>
        <v>41262</v>
      </c>
      <c r="D2303" s="191" t="s">
        <v>1722</v>
      </c>
      <c r="E2303" s="37">
        <v>41262</v>
      </c>
      <c r="F2303" s="297" t="s">
        <v>1358</v>
      </c>
      <c r="G2303" s="40" t="s">
        <v>1100</v>
      </c>
      <c r="H2303" s="7" t="s">
        <v>1700</v>
      </c>
      <c r="I2303" s="252">
        <v>100</v>
      </c>
      <c r="J2303" s="252">
        <v>18746</v>
      </c>
      <c r="K2303" s="38">
        <f t="shared" si="131"/>
        <v>1874600</v>
      </c>
      <c r="L2303" s="39" t="s">
        <v>175</v>
      </c>
      <c r="M2303" s="39" t="s">
        <v>169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B2303" s="211"/>
    </row>
    <row r="2304" spans="1:28" s="849" customFormat="1" ht="15.75" customHeight="1">
      <c r="A2304" s="204" t="str">
        <f>IF(B2304&lt;&gt;"",IF(AND(B2304&gt;=_TM1,B2304&lt;=_TM2,OR(TH!L2304="1111",TH!M2304="1111")),TH!D2304,""),"")</f>
        <v/>
      </c>
      <c r="B2304" s="732">
        <f t="shared" si="133"/>
        <v>12</v>
      </c>
      <c r="C2304" s="37">
        <f t="shared" si="132"/>
        <v>41269</v>
      </c>
      <c r="D2304" s="191" t="s">
        <v>1723</v>
      </c>
      <c r="E2304" s="37">
        <v>41269</v>
      </c>
      <c r="F2304" s="297" t="s">
        <v>1326</v>
      </c>
      <c r="G2304" s="40" t="s">
        <v>1101</v>
      </c>
      <c r="H2304" s="7" t="s">
        <v>1700</v>
      </c>
      <c r="I2304" s="252">
        <v>100</v>
      </c>
      <c r="J2304" s="252">
        <v>16140</v>
      </c>
      <c r="K2304" s="38">
        <f t="shared" si="131"/>
        <v>1614000</v>
      </c>
      <c r="L2304" s="39" t="s">
        <v>175</v>
      </c>
      <c r="M2304" s="39" t="s">
        <v>169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B2304" s="211"/>
    </row>
    <row r="2305" spans="1:28" s="849" customFormat="1" ht="15.75" customHeight="1">
      <c r="A2305" s="204" t="str">
        <f>IF(B2305&lt;&gt;"",IF(AND(B2305&gt;=_TM1,B2305&lt;=_TM2,OR(TH!L2305="1111",TH!M2305="1111")),TH!D2305,""),"")</f>
        <v/>
      </c>
      <c r="B2305" s="732">
        <f t="shared" si="133"/>
        <v>12</v>
      </c>
      <c r="C2305" s="37">
        <f t="shared" si="132"/>
        <v>41269</v>
      </c>
      <c r="D2305" s="191" t="s">
        <v>1723</v>
      </c>
      <c r="E2305" s="37">
        <v>41269</v>
      </c>
      <c r="F2305" s="297" t="s">
        <v>1346</v>
      </c>
      <c r="G2305" s="40" t="s">
        <v>1101</v>
      </c>
      <c r="H2305" s="7" t="s">
        <v>1700</v>
      </c>
      <c r="I2305" s="252">
        <v>190</v>
      </c>
      <c r="J2305" s="252">
        <v>34944</v>
      </c>
      <c r="K2305" s="38">
        <f t="shared" si="131"/>
        <v>6639360</v>
      </c>
      <c r="L2305" s="39" t="s">
        <v>175</v>
      </c>
      <c r="M2305" s="39" t="s">
        <v>169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B2305" s="211"/>
    </row>
    <row r="2306" spans="1:28" s="849" customFormat="1" ht="15.75" customHeight="1">
      <c r="A2306" s="204" t="str">
        <f>IF(B2306&lt;&gt;"",IF(AND(B2306&gt;=_TM1,B2306&lt;=_TM2,OR(TH!L2306="1111",TH!M2306="1111")),TH!D2306,""),"")</f>
        <v/>
      </c>
      <c r="B2306" s="732">
        <f t="shared" si="133"/>
        <v>12</v>
      </c>
      <c r="C2306" s="37">
        <f t="shared" si="132"/>
        <v>41269</v>
      </c>
      <c r="D2306" s="191" t="s">
        <v>1723</v>
      </c>
      <c r="E2306" s="37">
        <v>41269</v>
      </c>
      <c r="F2306" s="297" t="s">
        <v>1363</v>
      </c>
      <c r="G2306" s="40" t="s">
        <v>1103</v>
      </c>
      <c r="H2306" s="7" t="s">
        <v>1700</v>
      </c>
      <c r="I2306" s="252">
        <v>510</v>
      </c>
      <c r="J2306" s="252">
        <v>19979</v>
      </c>
      <c r="K2306" s="38">
        <f t="shared" si="131"/>
        <v>10189290</v>
      </c>
      <c r="L2306" s="39" t="s">
        <v>175</v>
      </c>
      <c r="M2306" s="39" t="s">
        <v>169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B2306" s="211"/>
    </row>
    <row r="2307" spans="1:28" s="894" customFormat="1" ht="15.75" customHeight="1">
      <c r="A2307" s="204" t="str">
        <f>IF(B2307&lt;&gt;"",IF(AND(B2307&gt;=_TM1,B2307&lt;=_TM2,OR(TH!L2307="1111",TH!M2307="1111")),TH!D2307,""),"")</f>
        <v/>
      </c>
      <c r="B2307" s="885">
        <f t="shared" si="133"/>
        <v>1</v>
      </c>
      <c r="C2307" s="911">
        <f t="shared" si="132"/>
        <v>40915</v>
      </c>
      <c r="D2307" s="911" t="s">
        <v>1737</v>
      </c>
      <c r="E2307" s="911">
        <v>40915</v>
      </c>
      <c r="F2307" s="915" t="s">
        <v>1478</v>
      </c>
      <c r="G2307" s="916" t="s">
        <v>1477</v>
      </c>
      <c r="H2307" s="914" t="s">
        <v>1705</v>
      </c>
      <c r="I2307" s="890">
        <v>25</v>
      </c>
      <c r="J2307" s="890">
        <v>43569.858268409291</v>
      </c>
      <c r="K2307" s="891">
        <f t="shared" si="131"/>
        <v>1089246</v>
      </c>
      <c r="L2307" s="912" t="s">
        <v>177</v>
      </c>
      <c r="M2307" s="91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8" s="849" customFormat="1" ht="15.75" customHeight="1">
      <c r="A2308" s="204" t="str">
        <f>IF(B2308&lt;&gt;"",IF(AND(B2308&gt;=_TM1,B2308&lt;=_TM2,OR(TH!L2308="1111",TH!M2308="1111")),TH!D2308,""),"")</f>
        <v/>
      </c>
      <c r="B2308" s="732">
        <f t="shared" si="133"/>
        <v>1</v>
      </c>
      <c r="C2308" s="48">
        <f t="shared" si="132"/>
        <v>40915</v>
      </c>
      <c r="D2308" s="48" t="s">
        <v>1737</v>
      </c>
      <c r="E2308" s="48">
        <v>40915</v>
      </c>
      <c r="F2308" s="917" t="s">
        <v>1479</v>
      </c>
      <c r="G2308" s="49" t="s">
        <v>1477</v>
      </c>
      <c r="H2308" s="909" t="s">
        <v>1705</v>
      </c>
      <c r="I2308" s="250">
        <v>50</v>
      </c>
      <c r="J2308" s="250">
        <v>23693.718268409288</v>
      </c>
      <c r="K2308" s="51">
        <f t="shared" ref="K2308:K2371" si="134">ROUND(I2308*J2308,0)</f>
        <v>1184686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8" s="849" customFormat="1" ht="15.75" customHeight="1">
      <c r="A2309" s="204" t="str">
        <f>IF(B2309&lt;&gt;"",IF(AND(B2309&gt;=_TM1,B2309&lt;=_TM2,OR(TH!L2309="1111",TH!M2309="1111")),TH!D2309,""),"")</f>
        <v/>
      </c>
      <c r="B2309" s="732">
        <f t="shared" si="133"/>
        <v>1</v>
      </c>
      <c r="C2309" s="48">
        <f t="shared" si="132"/>
        <v>40915</v>
      </c>
      <c r="D2309" s="48" t="s">
        <v>1737</v>
      </c>
      <c r="E2309" s="48">
        <v>40915</v>
      </c>
      <c r="F2309" s="917" t="s">
        <v>1480</v>
      </c>
      <c r="G2309" s="49" t="s">
        <v>1477</v>
      </c>
      <c r="H2309" s="909" t="s">
        <v>1705</v>
      </c>
      <c r="I2309" s="250">
        <v>25</v>
      </c>
      <c r="J2309" s="250">
        <v>48806.338268409287</v>
      </c>
      <c r="K2309" s="51">
        <f t="shared" si="134"/>
        <v>1220158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8" s="849" customFormat="1" ht="15.75" customHeight="1">
      <c r="A2310" s="204" t="str">
        <f>IF(B2310&lt;&gt;"",IF(AND(B2310&gt;=_TM1,B2310&lt;=_TM2,OR(TH!L2310="1111",TH!M2310="1111")),TH!D2310,""),"")</f>
        <v/>
      </c>
      <c r="B2310" s="732">
        <f t="shared" si="133"/>
        <v>1</v>
      </c>
      <c r="C2310" s="48">
        <f t="shared" si="132"/>
        <v>40915</v>
      </c>
      <c r="D2310" s="48" t="s">
        <v>1737</v>
      </c>
      <c r="E2310" s="48">
        <v>40915</v>
      </c>
      <c r="F2310" s="917" t="s">
        <v>1481</v>
      </c>
      <c r="G2310" s="49" t="s">
        <v>1477</v>
      </c>
      <c r="H2310" s="909" t="s">
        <v>1705</v>
      </c>
      <c r="I2310" s="250">
        <v>45</v>
      </c>
      <c r="J2310" s="250">
        <v>35860.596046187064</v>
      </c>
      <c r="K2310" s="51">
        <f t="shared" si="134"/>
        <v>1613727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8" s="849" customFormat="1" ht="15.75" customHeight="1">
      <c r="A2311" s="204" t="str">
        <f>IF(B2311&lt;&gt;"",IF(AND(B2311&gt;=_TM1,B2311&lt;=_TM2,OR(TH!L2311="1111",TH!M2311="1111")),TH!D2311,""),"")</f>
        <v/>
      </c>
      <c r="B2311" s="732">
        <f t="shared" si="133"/>
        <v>1</v>
      </c>
      <c r="C2311" s="48">
        <f t="shared" si="132"/>
        <v>40915</v>
      </c>
      <c r="D2311" s="48" t="s">
        <v>1737</v>
      </c>
      <c r="E2311" s="48">
        <v>40915</v>
      </c>
      <c r="F2311" s="917" t="s">
        <v>1482</v>
      </c>
      <c r="G2311" s="49" t="s">
        <v>1477</v>
      </c>
      <c r="H2311" s="909" t="s">
        <v>1705</v>
      </c>
      <c r="I2311" s="250">
        <v>100</v>
      </c>
      <c r="J2311" s="250">
        <v>27294.018268409287</v>
      </c>
      <c r="K2311" s="51">
        <f t="shared" si="134"/>
        <v>2729402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8" s="849" customFormat="1" ht="15.75" customHeight="1">
      <c r="A2312" s="204" t="str">
        <f>IF(B2312&lt;&gt;"",IF(AND(B2312&gt;=_TM1,B2312&lt;=_TM2,OR(TH!L2312="1111",TH!M2312="1111")),TH!D2312,""),"")</f>
        <v/>
      </c>
      <c r="B2312" s="732">
        <f t="shared" si="133"/>
        <v>1</v>
      </c>
      <c r="C2312" s="48">
        <f t="shared" si="132"/>
        <v>40915</v>
      </c>
      <c r="D2312" s="48" t="s">
        <v>1737</v>
      </c>
      <c r="E2312" s="48">
        <v>40915</v>
      </c>
      <c r="F2312" s="917" t="s">
        <v>1483</v>
      </c>
      <c r="G2312" s="49" t="s">
        <v>924</v>
      </c>
      <c r="H2312" s="909" t="s">
        <v>1705</v>
      </c>
      <c r="I2312" s="250">
        <v>149</v>
      </c>
      <c r="J2312" s="250">
        <v>17045.132362369015</v>
      </c>
      <c r="K2312" s="51">
        <f t="shared" si="134"/>
        <v>2539725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8" ht="15.75" customHeight="1">
      <c r="A2313" s="204" t="str">
        <f>IF(B2313&lt;&gt;"",IF(AND(B2313&gt;=_TM1,B2313&lt;=_TM2,OR(TH!L2313="1111",TH!M2313="1111")),TH!D2313,""),"")</f>
        <v/>
      </c>
      <c r="B2313" s="36">
        <f t="shared" si="133"/>
        <v>1</v>
      </c>
      <c r="C2313" s="48">
        <f t="shared" si="132"/>
        <v>40915</v>
      </c>
      <c r="D2313" s="48" t="s">
        <v>1737</v>
      </c>
      <c r="E2313" s="918">
        <v>40915</v>
      </c>
      <c r="F2313" s="919" t="s">
        <v>1111</v>
      </c>
      <c r="G2313" s="872" t="s">
        <v>924</v>
      </c>
      <c r="H2313" s="909" t="s">
        <v>1705</v>
      </c>
      <c r="I2313" s="250">
        <v>300</v>
      </c>
      <c r="J2313" s="250">
        <v>1906.1516017426181</v>
      </c>
      <c r="K2313" s="51">
        <f t="shared" si="134"/>
        <v>571845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8" ht="15.75" customHeight="1">
      <c r="A2314" s="204" t="str">
        <f>IF(B2314&lt;&gt;"",IF(AND(B2314&gt;=_TM1,B2314&lt;=_TM2,OR(TH!L2314="1111",TH!M2314="1111")),TH!D2314,""),"")</f>
        <v/>
      </c>
      <c r="B2314" s="36">
        <f t="shared" si="133"/>
        <v>1</v>
      </c>
      <c r="C2314" s="48">
        <f t="shared" si="132"/>
        <v>40915</v>
      </c>
      <c r="D2314" s="48" t="s">
        <v>1737</v>
      </c>
      <c r="E2314" s="918">
        <v>40915</v>
      </c>
      <c r="F2314" s="919" t="s">
        <v>1484</v>
      </c>
      <c r="G2314" s="872" t="s">
        <v>924</v>
      </c>
      <c r="H2314" s="909" t="s">
        <v>1705</v>
      </c>
      <c r="I2314" s="250">
        <v>119</v>
      </c>
      <c r="J2314" s="250">
        <v>36056.169528913495</v>
      </c>
      <c r="K2314" s="51">
        <f t="shared" si="134"/>
        <v>4290684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8" ht="15.75" customHeight="1">
      <c r="A2315" s="204" t="str">
        <f>IF(B2315&lt;&gt;"",IF(AND(B2315&gt;=_TM1,B2315&lt;=_TM2,OR(TH!L2315="1111",TH!M2315="1111")),TH!D2315,""),"")</f>
        <v/>
      </c>
      <c r="B2315" s="36">
        <f t="shared" si="133"/>
        <v>1</v>
      </c>
      <c r="C2315" s="48">
        <f t="shared" si="132"/>
        <v>40915</v>
      </c>
      <c r="D2315" s="48" t="s">
        <v>1737</v>
      </c>
      <c r="E2315" s="918">
        <v>40915</v>
      </c>
      <c r="F2315" s="919" t="s">
        <v>1485</v>
      </c>
      <c r="G2315" s="872" t="s">
        <v>924</v>
      </c>
      <c r="H2315" s="909" t="s">
        <v>1705</v>
      </c>
      <c r="I2315" s="250">
        <v>240</v>
      </c>
      <c r="J2315" s="250">
        <v>2554.8182684092849</v>
      </c>
      <c r="K2315" s="51">
        <f t="shared" si="134"/>
        <v>613156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8" ht="15.75" customHeight="1">
      <c r="A2316" s="204" t="str">
        <f>IF(B2316&lt;&gt;"",IF(AND(B2316&gt;=_TM1,B2316&lt;=_TM2,OR(TH!L2316="1111",TH!M2316="1111")),TH!D2316,""),"")</f>
        <v/>
      </c>
      <c r="B2316" s="36">
        <f t="shared" si="133"/>
        <v>1</v>
      </c>
      <c r="C2316" s="48">
        <f t="shared" si="132"/>
        <v>40915</v>
      </c>
      <c r="D2316" s="48" t="s">
        <v>1737</v>
      </c>
      <c r="E2316" s="918">
        <v>40915</v>
      </c>
      <c r="F2316" s="919" t="s">
        <v>1112</v>
      </c>
      <c r="G2316" s="872" t="s">
        <v>924</v>
      </c>
      <c r="H2316" s="909" t="s">
        <v>1705</v>
      </c>
      <c r="I2316" s="250">
        <v>3900</v>
      </c>
      <c r="J2316" s="250">
        <v>1809.7874991785159</v>
      </c>
      <c r="K2316" s="51">
        <f t="shared" si="134"/>
        <v>7058171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8" ht="15.75" customHeight="1">
      <c r="A2317" s="204" t="str">
        <f>IF(B2317&lt;&gt;"",IF(AND(B2317&gt;=_TM1,B2317&lt;=_TM2,OR(TH!L2317="1111",TH!M2317="1111")),TH!D2317,""),"")</f>
        <v/>
      </c>
      <c r="B2317" s="36">
        <f t="shared" si="133"/>
        <v>1</v>
      </c>
      <c r="C2317" s="48">
        <f t="shared" si="132"/>
        <v>40917</v>
      </c>
      <c r="D2317" s="48" t="s">
        <v>1737</v>
      </c>
      <c r="E2317" s="918">
        <v>40917</v>
      </c>
      <c r="F2317" s="919" t="s">
        <v>1186</v>
      </c>
      <c r="G2317" s="872" t="s">
        <v>926</v>
      </c>
      <c r="H2317" s="909" t="s">
        <v>1705</v>
      </c>
      <c r="I2317" s="250">
        <v>973</v>
      </c>
      <c r="J2317" s="250">
        <v>17175.448895336314</v>
      </c>
      <c r="K2317" s="51">
        <f t="shared" si="134"/>
        <v>16711712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8" ht="15.75" customHeight="1">
      <c r="A2318" s="204" t="str">
        <f>IF(B2318&lt;&gt;"",IF(AND(B2318&gt;=_TM1,B2318&lt;=_TM2,OR(TH!L2318="1111",TH!M2318="1111")),TH!D2318,""),"")</f>
        <v/>
      </c>
      <c r="B2318" s="36">
        <f t="shared" si="133"/>
        <v>1</v>
      </c>
      <c r="C2318" s="48">
        <f t="shared" ref="C2318:C2381" si="135">E2318</f>
        <v>40917</v>
      </c>
      <c r="D2318" s="48" t="s">
        <v>1737</v>
      </c>
      <c r="E2318" s="918">
        <v>40917</v>
      </c>
      <c r="F2318" s="919" t="s">
        <v>925</v>
      </c>
      <c r="G2318" s="872" t="s">
        <v>928</v>
      </c>
      <c r="H2318" s="909" t="s">
        <v>1705</v>
      </c>
      <c r="I2318" s="250">
        <v>1000</v>
      </c>
      <c r="J2318" s="250">
        <v>9202.0022684092855</v>
      </c>
      <c r="K2318" s="51">
        <f t="shared" si="134"/>
        <v>9202002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8" ht="15.75" customHeight="1">
      <c r="A2319" s="204" t="str">
        <f>IF(B2319&lt;&gt;"",IF(AND(B2319&gt;=_TM1,B2319&lt;=_TM2,OR(TH!L2319="1111",TH!M2319="1111")),TH!D2319,""),"")</f>
        <v/>
      </c>
      <c r="B2319" s="36">
        <f t="shared" si="133"/>
        <v>1</v>
      </c>
      <c r="C2319" s="48">
        <f t="shared" si="135"/>
        <v>40918</v>
      </c>
      <c r="D2319" s="48" t="s">
        <v>1737</v>
      </c>
      <c r="E2319" s="918">
        <v>40918</v>
      </c>
      <c r="F2319" s="919" t="s">
        <v>925</v>
      </c>
      <c r="G2319" s="872" t="s">
        <v>929</v>
      </c>
      <c r="H2319" s="909" t="s">
        <v>1705</v>
      </c>
      <c r="I2319" s="250">
        <v>202</v>
      </c>
      <c r="J2319" s="250">
        <v>43182.424209003344</v>
      </c>
      <c r="K2319" s="51">
        <f t="shared" si="134"/>
        <v>8722850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8" ht="15.75" customHeight="1">
      <c r="A2320" s="204" t="str">
        <f>IF(B2320&lt;&gt;"",IF(AND(B2320&gt;=_TM1,B2320&lt;=_TM2,OR(TH!L2320="1111",TH!M2320="1111")),TH!D2320,""),"")</f>
        <v/>
      </c>
      <c r="B2320" s="36">
        <f t="shared" si="133"/>
        <v>1</v>
      </c>
      <c r="C2320" s="48">
        <f t="shared" si="135"/>
        <v>40922</v>
      </c>
      <c r="D2320" s="48" t="s">
        <v>1737</v>
      </c>
      <c r="E2320" s="918">
        <v>40922</v>
      </c>
      <c r="F2320" s="919" t="s">
        <v>1113</v>
      </c>
      <c r="G2320" s="872" t="s">
        <v>930</v>
      </c>
      <c r="H2320" s="909" t="s">
        <v>1705</v>
      </c>
      <c r="I2320" s="250">
        <v>492</v>
      </c>
      <c r="J2320" s="250">
        <v>4671.7174554011553</v>
      </c>
      <c r="K2320" s="51">
        <f t="shared" si="134"/>
        <v>2298485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customHeight="1">
      <c r="A2321" s="204" t="str">
        <f>IF(B2321&lt;&gt;"",IF(AND(B2321&gt;=_TM1,B2321&lt;=_TM2,OR(TH!L2321="1111",TH!M2321="1111")),TH!D2321,""),"")</f>
        <v/>
      </c>
      <c r="B2321" s="36">
        <f t="shared" si="133"/>
        <v>1</v>
      </c>
      <c r="C2321" s="48">
        <f t="shared" si="135"/>
        <v>40922</v>
      </c>
      <c r="D2321" s="48" t="s">
        <v>1737</v>
      </c>
      <c r="E2321" s="48">
        <v>40922</v>
      </c>
      <c r="F2321" s="919" t="s">
        <v>1486</v>
      </c>
      <c r="G2321" s="872" t="s">
        <v>930</v>
      </c>
      <c r="H2321" s="909" t="s">
        <v>1705</v>
      </c>
      <c r="I2321" s="250">
        <v>304</v>
      </c>
      <c r="J2321" s="250">
        <v>4619.9130052513901</v>
      </c>
      <c r="K2321" s="51">
        <f t="shared" si="134"/>
        <v>1404454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customHeight="1">
      <c r="A2322" s="204" t="str">
        <f>IF(B2322&lt;&gt;"",IF(AND(B2322&gt;=_TM1,B2322&lt;=_TM2,OR(TH!L2322="1111",TH!M2322="1111")),TH!D2322,""),"")</f>
        <v/>
      </c>
      <c r="B2322" s="36">
        <f t="shared" si="133"/>
        <v>1</v>
      </c>
      <c r="C2322" s="48">
        <f t="shared" si="135"/>
        <v>40922</v>
      </c>
      <c r="D2322" s="48" t="s">
        <v>1737</v>
      </c>
      <c r="E2322" s="48">
        <v>40922</v>
      </c>
      <c r="F2322" s="919" t="s">
        <v>1487</v>
      </c>
      <c r="G2322" s="872" t="s">
        <v>930</v>
      </c>
      <c r="H2322" s="909" t="s">
        <v>1705</v>
      </c>
      <c r="I2322" s="250">
        <v>1000</v>
      </c>
      <c r="J2322" s="250">
        <v>8876.3982684092862</v>
      </c>
      <c r="K2322" s="51">
        <f t="shared" si="134"/>
        <v>8876398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customHeight="1">
      <c r="A2323" s="204" t="str">
        <f>IF(B2323&lt;&gt;"",IF(AND(B2323&gt;=_TM1,B2323&lt;=_TM2,OR(TH!L2323="1111",TH!M2323="1111")),TH!D2323,""),"")</f>
        <v/>
      </c>
      <c r="B2323" s="36">
        <f t="shared" si="133"/>
        <v>1</v>
      </c>
      <c r="C2323" s="48">
        <f t="shared" si="135"/>
        <v>40922</v>
      </c>
      <c r="D2323" s="48" t="s">
        <v>1737</v>
      </c>
      <c r="E2323" s="48">
        <v>40922</v>
      </c>
      <c r="F2323" s="919" t="s">
        <v>1488</v>
      </c>
      <c r="G2323" s="872" t="s">
        <v>930</v>
      </c>
      <c r="H2323" s="909" t="s">
        <v>1705</v>
      </c>
      <c r="I2323" s="250">
        <v>500</v>
      </c>
      <c r="J2323" s="250">
        <v>6586.348268409286</v>
      </c>
      <c r="K2323" s="51">
        <f t="shared" si="134"/>
        <v>3293174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customHeight="1">
      <c r="A2324" s="204" t="str">
        <f>IF(B2324&lt;&gt;"",IF(AND(B2324&gt;=_TM1,B2324&lt;=_TM2,OR(TH!L2324="1111",TH!M2324="1111")),TH!D2324,""),"")</f>
        <v/>
      </c>
      <c r="B2324" s="36">
        <f t="shared" si="133"/>
        <v>1</v>
      </c>
      <c r="C2324" s="48">
        <f t="shared" si="135"/>
        <v>40924</v>
      </c>
      <c r="D2324" s="48" t="s">
        <v>1737</v>
      </c>
      <c r="E2324" s="48">
        <v>40924</v>
      </c>
      <c r="F2324" s="919" t="s">
        <v>1481</v>
      </c>
      <c r="G2324" s="872" t="s">
        <v>931</v>
      </c>
      <c r="H2324" s="909" t="s">
        <v>1705</v>
      </c>
      <c r="I2324" s="250">
        <v>5</v>
      </c>
      <c r="J2324" s="250">
        <v>33129.01826840928</v>
      </c>
      <c r="K2324" s="51">
        <f t="shared" si="134"/>
        <v>165645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customHeight="1">
      <c r="A2325" s="204" t="str">
        <f>IF(B2325&lt;&gt;"",IF(AND(B2325&gt;=_TM1,B2325&lt;=_TM2,OR(TH!L2325="1111",TH!M2325="1111")),TH!D2325,""),"")</f>
        <v/>
      </c>
      <c r="B2325" s="36">
        <f t="shared" si="133"/>
        <v>1</v>
      </c>
      <c r="C2325" s="48">
        <f t="shared" si="135"/>
        <v>40924</v>
      </c>
      <c r="D2325" s="48" t="s">
        <v>1737</v>
      </c>
      <c r="E2325" s="48">
        <v>40924</v>
      </c>
      <c r="F2325" s="919" t="s">
        <v>1483</v>
      </c>
      <c r="G2325" s="872" t="s">
        <v>931</v>
      </c>
      <c r="H2325" s="909" t="s">
        <v>1705</v>
      </c>
      <c r="I2325" s="250">
        <v>1</v>
      </c>
      <c r="J2325" s="250">
        <v>17063.018268409283</v>
      </c>
      <c r="K2325" s="51">
        <f t="shared" si="134"/>
        <v>17063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customHeight="1">
      <c r="A2326" s="204" t="str">
        <f>IF(B2326&lt;&gt;"",IF(AND(B2326&gt;=_TM1,B2326&lt;=_TM2,OR(TH!L2326="1111",TH!M2326="1111")),TH!D2326,""),"")</f>
        <v/>
      </c>
      <c r="B2326" s="36">
        <f t="shared" si="133"/>
        <v>1</v>
      </c>
      <c r="C2326" s="48">
        <f t="shared" si="135"/>
        <v>40924</v>
      </c>
      <c r="D2326" s="48" t="s">
        <v>1737</v>
      </c>
      <c r="E2326" s="48">
        <v>40924</v>
      </c>
      <c r="F2326" s="919" t="s">
        <v>1484</v>
      </c>
      <c r="G2326" s="872" t="s">
        <v>931</v>
      </c>
      <c r="H2326" s="909" t="s">
        <v>1705</v>
      </c>
      <c r="I2326" s="250">
        <v>91</v>
      </c>
      <c r="J2326" s="250">
        <v>36001.205081596097</v>
      </c>
      <c r="K2326" s="51">
        <f t="shared" si="134"/>
        <v>3276110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customHeight="1">
      <c r="A2327" s="204" t="str">
        <f>IF(B2327&lt;&gt;"",IF(AND(B2327&gt;=_TM1,B2327&lt;=_TM2,OR(TH!L2327="1111",TH!M2327="1111")),TH!D2327,""),"")</f>
        <v/>
      </c>
      <c r="B2327" s="36">
        <f t="shared" si="133"/>
        <v>1</v>
      </c>
      <c r="C2327" s="48">
        <f t="shared" si="135"/>
        <v>40924</v>
      </c>
      <c r="D2327" s="48" t="s">
        <v>1737</v>
      </c>
      <c r="E2327" s="48">
        <v>40924</v>
      </c>
      <c r="F2327" s="919" t="s">
        <v>1235</v>
      </c>
      <c r="G2327" s="872" t="s">
        <v>931</v>
      </c>
      <c r="H2327" s="909" t="s">
        <v>1705</v>
      </c>
      <c r="I2327" s="250">
        <v>210</v>
      </c>
      <c r="J2327" s="250">
        <v>27527.732554123573</v>
      </c>
      <c r="K2327" s="51">
        <f t="shared" si="134"/>
        <v>5780824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customHeight="1">
      <c r="A2328" s="204" t="str">
        <f>IF(B2328&lt;&gt;"",IF(AND(B2328&gt;=_TM1,B2328&lt;=_TM2,OR(TH!L2328="1111",TH!M2328="1111")),TH!D2328,""),"")</f>
        <v/>
      </c>
      <c r="B2328" s="36">
        <f t="shared" si="133"/>
        <v>1</v>
      </c>
      <c r="C2328" s="48">
        <f t="shared" si="135"/>
        <v>40924</v>
      </c>
      <c r="D2328" s="48" t="s">
        <v>1737</v>
      </c>
      <c r="E2328" s="48">
        <v>40924</v>
      </c>
      <c r="F2328" s="919" t="s">
        <v>1236</v>
      </c>
      <c r="G2328" s="872" t="s">
        <v>931</v>
      </c>
      <c r="H2328" s="909" t="s">
        <v>1705</v>
      </c>
      <c r="I2328" s="250">
        <v>420</v>
      </c>
      <c r="J2328" s="250">
        <v>2116.4182684092848</v>
      </c>
      <c r="K2328" s="51">
        <f t="shared" si="134"/>
        <v>888896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customHeight="1">
      <c r="A2329" s="204" t="str">
        <f>IF(B2329&lt;&gt;"",IF(AND(B2329&gt;=_TM1,B2329&lt;=_TM2,OR(TH!L2329="1111",TH!M2329="1111")),TH!D2329,""),"")</f>
        <v/>
      </c>
      <c r="B2329" s="36">
        <f t="shared" si="133"/>
        <v>1</v>
      </c>
      <c r="C2329" s="48">
        <f t="shared" si="135"/>
        <v>40924</v>
      </c>
      <c r="D2329" s="48" t="s">
        <v>1737</v>
      </c>
      <c r="E2329" s="48">
        <v>40924</v>
      </c>
      <c r="F2329" s="919" t="s">
        <v>1485</v>
      </c>
      <c r="G2329" s="872" t="s">
        <v>931</v>
      </c>
      <c r="H2329" s="909" t="s">
        <v>1705</v>
      </c>
      <c r="I2329" s="250">
        <v>180</v>
      </c>
      <c r="J2329" s="250">
        <v>2554.8182684092853</v>
      </c>
      <c r="K2329" s="51">
        <f t="shared" si="134"/>
        <v>459867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customHeight="1">
      <c r="A2330" s="204" t="str">
        <f>IF(B2330&lt;&gt;"",IF(AND(B2330&gt;=_TM1,B2330&lt;=_TM2,OR(TH!L2330="1111",TH!M2330="1111")),TH!D2330,""),"")</f>
        <v/>
      </c>
      <c r="B2330" s="36">
        <f t="shared" si="133"/>
        <v>1</v>
      </c>
      <c r="C2330" s="48">
        <f t="shared" si="135"/>
        <v>40925</v>
      </c>
      <c r="D2330" s="48" t="s">
        <v>1737</v>
      </c>
      <c r="E2330" s="48">
        <v>40925</v>
      </c>
      <c r="F2330" s="919" t="s">
        <v>1496</v>
      </c>
      <c r="G2330" s="872" t="s">
        <v>1547</v>
      </c>
      <c r="H2330" s="909" t="s">
        <v>1705</v>
      </c>
      <c r="I2330" s="250">
        <v>90</v>
      </c>
      <c r="J2330" s="250">
        <v>13635.629379520396</v>
      </c>
      <c r="K2330" s="51">
        <f t="shared" si="134"/>
        <v>1227207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customHeight="1">
      <c r="A2331" s="204" t="str">
        <f>IF(B2331&lt;&gt;"",IF(AND(B2331&gt;=_TM1,B2331&lt;=_TM2,OR(TH!L2331="1111",TH!M2331="1111")),TH!D2331,""),"")</f>
        <v/>
      </c>
      <c r="B2331" s="36">
        <f t="shared" si="133"/>
        <v>1</v>
      </c>
      <c r="C2331" s="48">
        <f t="shared" si="135"/>
        <v>40925</v>
      </c>
      <c r="D2331" s="48" t="s">
        <v>1737</v>
      </c>
      <c r="E2331" s="48">
        <v>40925</v>
      </c>
      <c r="F2331" s="919" t="s">
        <v>1497</v>
      </c>
      <c r="G2331" s="872" t="s">
        <v>1547</v>
      </c>
      <c r="H2331" s="909" t="s">
        <v>1705</v>
      </c>
      <c r="I2331" s="250">
        <v>180</v>
      </c>
      <c r="J2331" s="250">
        <v>6768.5182684092852</v>
      </c>
      <c r="K2331" s="51">
        <f t="shared" si="134"/>
        <v>1218333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customHeight="1">
      <c r="A2332" s="204" t="str">
        <f>IF(B2332&lt;&gt;"",IF(AND(B2332&gt;=_TM1,B2332&lt;=_TM2,OR(TH!L2332="1111",TH!M2332="1111")),TH!D2332,""),"")</f>
        <v/>
      </c>
      <c r="B2332" s="36">
        <f t="shared" si="133"/>
        <v>1</v>
      </c>
      <c r="C2332" s="48">
        <f t="shared" si="135"/>
        <v>40925</v>
      </c>
      <c r="D2332" s="48" t="s">
        <v>1737</v>
      </c>
      <c r="E2332" s="48">
        <v>40925</v>
      </c>
      <c r="F2332" s="919" t="s">
        <v>1498</v>
      </c>
      <c r="G2332" s="872" t="s">
        <v>1547</v>
      </c>
      <c r="H2332" s="909" t="s">
        <v>1705</v>
      </c>
      <c r="I2332" s="250">
        <v>20</v>
      </c>
      <c r="J2332" s="250">
        <v>12799.518268409285</v>
      </c>
      <c r="K2332" s="51">
        <f t="shared" si="134"/>
        <v>255990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customHeight="1">
      <c r="A2333" s="204" t="str">
        <f>IF(B2333&lt;&gt;"",IF(AND(B2333&gt;=_TM1,B2333&lt;=_TM2,OR(TH!L2333="1111",TH!M2333="1111")),TH!D2333,""),"")</f>
        <v/>
      </c>
      <c r="B2333" s="36">
        <f t="shared" si="133"/>
        <v>1</v>
      </c>
      <c r="C2333" s="48">
        <f t="shared" si="135"/>
        <v>40925</v>
      </c>
      <c r="D2333" s="48" t="s">
        <v>1737</v>
      </c>
      <c r="E2333" s="48">
        <v>40925</v>
      </c>
      <c r="F2333" s="919" t="s">
        <v>1499</v>
      </c>
      <c r="G2333" s="872" t="s">
        <v>1547</v>
      </c>
      <c r="H2333" s="909" t="s">
        <v>1705</v>
      </c>
      <c r="I2333" s="250">
        <v>590</v>
      </c>
      <c r="J2333" s="250">
        <v>6071.8623362058943</v>
      </c>
      <c r="K2333" s="51">
        <f t="shared" si="134"/>
        <v>3582399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customHeight="1">
      <c r="A2334" s="204" t="str">
        <f>IF(B2334&lt;&gt;"",IF(AND(B2334&gt;=_TM1,B2334&lt;=_TM2,OR(TH!L2334="1111",TH!M2334="1111")),TH!D2334,""),"")</f>
        <v/>
      </c>
      <c r="B2334" s="36">
        <f t="shared" si="133"/>
        <v>1</v>
      </c>
      <c r="C2334" s="48">
        <f t="shared" si="135"/>
        <v>40925</v>
      </c>
      <c r="D2334" s="48" t="s">
        <v>1737</v>
      </c>
      <c r="E2334" s="48">
        <v>40925</v>
      </c>
      <c r="F2334" s="919" t="s">
        <v>1500</v>
      </c>
      <c r="G2334" s="872" t="s">
        <v>1547</v>
      </c>
      <c r="H2334" s="909" t="s">
        <v>1705</v>
      </c>
      <c r="I2334" s="250">
        <v>60</v>
      </c>
      <c r="J2334" s="250">
        <v>4529.684935075953</v>
      </c>
      <c r="K2334" s="51">
        <f t="shared" si="134"/>
        <v>271781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customHeight="1">
      <c r="A2335" s="204" t="str">
        <f>IF(B2335&lt;&gt;"",IF(AND(B2335&gt;=_TM1,B2335&lt;=_TM2,OR(TH!L2335="1111",TH!M2335="1111")),TH!D2335,""),"")</f>
        <v/>
      </c>
      <c r="B2335" s="36">
        <f t="shared" si="133"/>
        <v>1</v>
      </c>
      <c r="C2335" s="48">
        <f t="shared" si="135"/>
        <v>40925</v>
      </c>
      <c r="D2335" s="48" t="s">
        <v>1737</v>
      </c>
      <c r="E2335" s="48">
        <v>40925</v>
      </c>
      <c r="F2335" s="919" t="s">
        <v>1501</v>
      </c>
      <c r="G2335" s="872" t="s">
        <v>1547</v>
      </c>
      <c r="H2335" s="909" t="s">
        <v>1705</v>
      </c>
      <c r="I2335" s="250">
        <v>150</v>
      </c>
      <c r="J2335" s="250">
        <v>8465.3516017426191</v>
      </c>
      <c r="K2335" s="51">
        <f t="shared" si="134"/>
        <v>1269803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customHeight="1">
      <c r="A2336" s="204" t="str">
        <f>IF(B2336&lt;&gt;"",IF(AND(B2336&gt;=_TM1,B2336&lt;=_TM2,OR(TH!L2336="1111",TH!M2336="1111")),TH!D2336,""),"")</f>
        <v/>
      </c>
      <c r="B2336" s="36">
        <f t="shared" si="133"/>
        <v>1</v>
      </c>
      <c r="C2336" s="48">
        <f t="shared" si="135"/>
        <v>40925</v>
      </c>
      <c r="D2336" s="48" t="s">
        <v>1737</v>
      </c>
      <c r="E2336" s="48">
        <v>40925</v>
      </c>
      <c r="F2336" s="919" t="s">
        <v>1502</v>
      </c>
      <c r="G2336" s="872" t="s">
        <v>1547</v>
      </c>
      <c r="H2336" s="909" t="s">
        <v>1705</v>
      </c>
      <c r="I2336" s="250">
        <v>218</v>
      </c>
      <c r="J2336" s="250">
        <v>9150.3118463909359</v>
      </c>
      <c r="K2336" s="51">
        <f t="shared" si="134"/>
        <v>1994768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customHeight="1">
      <c r="A2337" s="204" t="str">
        <f>IF(B2337&lt;&gt;"",IF(AND(B2337&gt;=_TM1,B2337&lt;=_TM2,OR(TH!L2337="1111",TH!M2337="1111")),TH!D2337,""),"")</f>
        <v/>
      </c>
      <c r="B2337" s="36">
        <f t="shared" si="133"/>
        <v>1</v>
      </c>
      <c r="C2337" s="48">
        <f t="shared" si="135"/>
        <v>40925</v>
      </c>
      <c r="D2337" s="48" t="s">
        <v>1737</v>
      </c>
      <c r="E2337" s="48">
        <v>40925</v>
      </c>
      <c r="F2337" s="919" t="s">
        <v>1548</v>
      </c>
      <c r="G2337" s="872" t="s">
        <v>1547</v>
      </c>
      <c r="H2337" s="909" t="s">
        <v>1705</v>
      </c>
      <c r="I2337" s="250">
        <v>40</v>
      </c>
      <c r="J2337" s="250">
        <v>13907.393268409287</v>
      </c>
      <c r="K2337" s="51">
        <f t="shared" si="134"/>
        <v>556296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customHeight="1">
      <c r="A2338" s="204" t="str">
        <f>IF(B2338&lt;&gt;"",IF(AND(B2338&gt;=_TM1,B2338&lt;=_TM2,OR(TH!L2338="1111",TH!M2338="1111")),TH!D2338,""),"")</f>
        <v/>
      </c>
      <c r="B2338" s="36">
        <f t="shared" si="133"/>
        <v>1</v>
      </c>
      <c r="C2338" s="48">
        <f t="shared" si="135"/>
        <v>40925</v>
      </c>
      <c r="D2338" s="48" t="s">
        <v>1737</v>
      </c>
      <c r="E2338" s="48">
        <v>40925</v>
      </c>
      <c r="F2338" s="919" t="s">
        <v>1504</v>
      </c>
      <c r="G2338" s="872" t="s">
        <v>1547</v>
      </c>
      <c r="H2338" s="909" t="s">
        <v>1705</v>
      </c>
      <c r="I2338" s="250">
        <v>350</v>
      </c>
      <c r="J2338" s="250">
        <v>8129.218268409285</v>
      </c>
      <c r="K2338" s="51">
        <f t="shared" si="134"/>
        <v>2845226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customHeight="1">
      <c r="A2339" s="204" t="str">
        <f>IF(B2339&lt;&gt;"",IF(AND(B2339&gt;=_TM1,B2339&lt;=_TM2,OR(TH!L2339="1111",TH!M2339="1111")),TH!D2339,""),"")</f>
        <v/>
      </c>
      <c r="B2339" s="36">
        <f t="shared" si="133"/>
        <v>1</v>
      </c>
      <c r="C2339" s="48">
        <f t="shared" si="135"/>
        <v>40925</v>
      </c>
      <c r="D2339" s="48" t="s">
        <v>1737</v>
      </c>
      <c r="E2339" s="48">
        <v>40925</v>
      </c>
      <c r="F2339" s="919" t="s">
        <v>1505</v>
      </c>
      <c r="G2339" s="872" t="s">
        <v>1547</v>
      </c>
      <c r="H2339" s="909" t="s">
        <v>1705</v>
      </c>
      <c r="I2339" s="250">
        <v>366</v>
      </c>
      <c r="J2339" s="250">
        <v>9061.2423121251322</v>
      </c>
      <c r="K2339" s="51">
        <f t="shared" si="134"/>
        <v>3316415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customHeight="1">
      <c r="A2340" s="204" t="str">
        <f>IF(B2340&lt;&gt;"",IF(AND(B2340&gt;=_TM1,B2340&lt;=_TM2,OR(TH!L2340="1111",TH!M2340="1111")),TH!D2340,""),"")</f>
        <v/>
      </c>
      <c r="B2340" s="36">
        <f t="shared" si="133"/>
        <v>1</v>
      </c>
      <c r="C2340" s="48">
        <f t="shared" si="135"/>
        <v>40926</v>
      </c>
      <c r="D2340" s="48" t="s">
        <v>1737</v>
      </c>
      <c r="E2340" s="48">
        <v>40926</v>
      </c>
      <c r="F2340" s="919" t="s">
        <v>1512</v>
      </c>
      <c r="G2340" s="872" t="s">
        <v>1549</v>
      </c>
      <c r="H2340" s="909" t="s">
        <v>1705</v>
      </c>
      <c r="I2340" s="250">
        <v>500</v>
      </c>
      <c r="J2340" s="250">
        <v>8127.058268409286</v>
      </c>
      <c r="K2340" s="51">
        <f t="shared" si="134"/>
        <v>4063529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customHeight="1">
      <c r="A2341" s="204" t="str">
        <f>IF(B2341&lt;&gt;"",IF(AND(B2341&gt;=_TM1,B2341&lt;=_TM2,OR(TH!L2341="1111",TH!M2341="1111")),TH!D2341,""),"")</f>
        <v/>
      </c>
      <c r="B2341" s="36">
        <f t="shared" si="133"/>
        <v>1</v>
      </c>
      <c r="C2341" s="48">
        <f t="shared" si="135"/>
        <v>40926</v>
      </c>
      <c r="D2341" s="48" t="s">
        <v>1737</v>
      </c>
      <c r="E2341" s="48">
        <v>40926</v>
      </c>
      <c r="F2341" s="919" t="s">
        <v>1513</v>
      </c>
      <c r="G2341" s="872" t="s">
        <v>1549</v>
      </c>
      <c r="H2341" s="909" t="s">
        <v>1705</v>
      </c>
      <c r="I2341" s="250">
        <v>240</v>
      </c>
      <c r="J2341" s="250">
        <v>14703.093268409284</v>
      </c>
      <c r="K2341" s="51">
        <f t="shared" si="134"/>
        <v>3528742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customHeight="1">
      <c r="A2342" s="204" t="str">
        <f>IF(B2342&lt;&gt;"",IF(AND(B2342&gt;=_TM1,B2342&lt;=_TM2,OR(TH!L2342="1111",TH!M2342="1111")),TH!D2342,""),"")</f>
        <v/>
      </c>
      <c r="B2342" s="36">
        <f t="shared" si="133"/>
        <v>1</v>
      </c>
      <c r="C2342" s="48">
        <f t="shared" si="135"/>
        <v>40926</v>
      </c>
      <c r="D2342" s="48" t="s">
        <v>1737</v>
      </c>
      <c r="E2342" s="48">
        <v>40926</v>
      </c>
      <c r="F2342" s="919" t="s">
        <v>1514</v>
      </c>
      <c r="G2342" s="872" t="s">
        <v>1549</v>
      </c>
      <c r="H2342" s="909" t="s">
        <v>1705</v>
      </c>
      <c r="I2342" s="250">
        <v>170</v>
      </c>
      <c r="J2342" s="250">
        <v>11461.518268409283</v>
      </c>
      <c r="K2342" s="51">
        <f t="shared" si="134"/>
        <v>1948458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customHeight="1">
      <c r="A2343" s="204" t="str">
        <f>IF(B2343&lt;&gt;"",IF(AND(B2343&gt;=_TM1,B2343&lt;=_TM2,OR(TH!L2343="1111",TH!M2343="1111")),TH!D2343,""),"")</f>
        <v/>
      </c>
      <c r="B2343" s="36">
        <f t="shared" si="133"/>
        <v>1</v>
      </c>
      <c r="C2343" s="48">
        <f t="shared" si="135"/>
        <v>40926</v>
      </c>
      <c r="D2343" s="48" t="s">
        <v>1737</v>
      </c>
      <c r="E2343" s="48">
        <v>40926</v>
      </c>
      <c r="F2343" s="919" t="s">
        <v>1498</v>
      </c>
      <c r="G2343" s="872" t="s">
        <v>1549</v>
      </c>
      <c r="H2343" s="909" t="s">
        <v>1705</v>
      </c>
      <c r="I2343" s="250">
        <v>30</v>
      </c>
      <c r="J2343" s="250">
        <v>11461.518268409283</v>
      </c>
      <c r="K2343" s="51">
        <f t="shared" si="134"/>
        <v>343846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customHeight="1">
      <c r="A2344" s="204" t="str">
        <f>IF(B2344&lt;&gt;"",IF(AND(B2344&gt;=_TM1,B2344&lt;=_TM2,OR(TH!L2344="1111",TH!M2344="1111")),TH!D2344,""),"")</f>
        <v/>
      </c>
      <c r="B2344" s="36">
        <f t="shared" si="133"/>
        <v>1</v>
      </c>
      <c r="C2344" s="48">
        <f t="shared" si="135"/>
        <v>40926</v>
      </c>
      <c r="D2344" s="48" t="s">
        <v>1737</v>
      </c>
      <c r="E2344" s="48">
        <v>40926</v>
      </c>
      <c r="F2344" s="919" t="s">
        <v>1509</v>
      </c>
      <c r="G2344" s="872" t="s">
        <v>1549</v>
      </c>
      <c r="H2344" s="909" t="s">
        <v>1705</v>
      </c>
      <c r="I2344" s="250">
        <v>350</v>
      </c>
      <c r="J2344" s="250">
        <v>14960.846839837857</v>
      </c>
      <c r="K2344" s="51">
        <f t="shared" si="134"/>
        <v>5236296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customHeight="1">
      <c r="A2345" s="204" t="str">
        <f>IF(B2345&lt;&gt;"",IF(AND(B2345&gt;=_TM1,B2345&lt;=_TM2,OR(TH!L2345="1111",TH!M2345="1111")),TH!D2345,""),"")</f>
        <v/>
      </c>
      <c r="B2345" s="36">
        <f t="shared" ref="B2345:B2408" si="136">IF(C2345&lt;&gt;"",MONTH(C2345),"")</f>
        <v>1</v>
      </c>
      <c r="C2345" s="48">
        <f t="shared" si="135"/>
        <v>40926</v>
      </c>
      <c r="D2345" s="48" t="s">
        <v>1737</v>
      </c>
      <c r="E2345" s="48">
        <v>40926</v>
      </c>
      <c r="F2345" s="919" t="s">
        <v>1550</v>
      </c>
      <c r="G2345" s="872" t="s">
        <v>1549</v>
      </c>
      <c r="H2345" s="909" t="s">
        <v>1705</v>
      </c>
      <c r="I2345" s="250">
        <v>20</v>
      </c>
      <c r="J2345" s="250">
        <v>18024.018268409287</v>
      </c>
      <c r="K2345" s="51">
        <f t="shared" si="134"/>
        <v>360480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customHeight="1">
      <c r="A2346" s="204" t="str">
        <f>IF(B2346&lt;&gt;"",IF(AND(B2346&gt;=_TM1,B2346&lt;=_TM2,OR(TH!L2346="1111",TH!M2346="1111")),TH!D2346,""),"")</f>
        <v/>
      </c>
      <c r="B2346" s="36">
        <f t="shared" si="136"/>
        <v>1</v>
      </c>
      <c r="C2346" s="48">
        <f t="shared" si="135"/>
        <v>40926</v>
      </c>
      <c r="D2346" s="48" t="s">
        <v>1737</v>
      </c>
      <c r="E2346" s="48">
        <v>40926</v>
      </c>
      <c r="F2346" s="919" t="s">
        <v>1516</v>
      </c>
      <c r="G2346" s="872" t="s">
        <v>1549</v>
      </c>
      <c r="H2346" s="909" t="s">
        <v>1705</v>
      </c>
      <c r="I2346" s="250">
        <v>300</v>
      </c>
      <c r="J2346" s="250">
        <v>15967.351601742615</v>
      </c>
      <c r="K2346" s="51">
        <f t="shared" si="134"/>
        <v>4790205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customHeight="1">
      <c r="A2347" s="204" t="str">
        <f>IF(B2347&lt;&gt;"",IF(AND(B2347&gt;=_TM1,B2347&lt;=_TM2,OR(TH!L2347="1111",TH!M2347="1111")),TH!D2347,""),"")</f>
        <v/>
      </c>
      <c r="B2347" s="36">
        <f t="shared" si="136"/>
        <v>1</v>
      </c>
      <c r="C2347" s="48">
        <f t="shared" si="135"/>
        <v>40926</v>
      </c>
      <c r="D2347" s="48" t="s">
        <v>1737</v>
      </c>
      <c r="E2347" s="48">
        <v>40926</v>
      </c>
      <c r="F2347" s="919" t="s">
        <v>1517</v>
      </c>
      <c r="G2347" s="872" t="s">
        <v>1549</v>
      </c>
      <c r="H2347" s="909" t="s">
        <v>1705</v>
      </c>
      <c r="I2347" s="250">
        <v>40</v>
      </c>
      <c r="J2347" s="250">
        <v>18952.593268409288</v>
      </c>
      <c r="K2347" s="51">
        <f t="shared" si="134"/>
        <v>758104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customHeight="1">
      <c r="A2348" s="204" t="str">
        <f>IF(B2348&lt;&gt;"",IF(AND(B2348&gt;=_TM1,B2348&lt;=_TM2,OR(TH!L2348="1111",TH!M2348="1111")),TH!D2348,""),"")</f>
        <v/>
      </c>
      <c r="B2348" s="36">
        <f t="shared" si="136"/>
        <v>1</v>
      </c>
      <c r="C2348" s="48">
        <f t="shared" si="135"/>
        <v>40926</v>
      </c>
      <c r="D2348" s="48" t="s">
        <v>1737</v>
      </c>
      <c r="E2348" s="48">
        <v>40926</v>
      </c>
      <c r="F2348" s="919" t="s">
        <v>1518</v>
      </c>
      <c r="G2348" s="872" t="s">
        <v>1549</v>
      </c>
      <c r="H2348" s="909" t="s">
        <v>1705</v>
      </c>
      <c r="I2348" s="250">
        <v>260</v>
      </c>
      <c r="J2348" s="250">
        <v>15184.018268409285</v>
      </c>
      <c r="K2348" s="51">
        <f t="shared" si="134"/>
        <v>3947845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customHeight="1">
      <c r="A2349" s="204" t="str">
        <f>IF(B2349&lt;&gt;"",IF(AND(B2349&gt;=_TM1,B2349&lt;=_TM2,OR(TH!L2349="1111",TH!M2349="1111")),TH!D2349,""),"")</f>
        <v/>
      </c>
      <c r="B2349" s="36">
        <f t="shared" si="136"/>
        <v>1</v>
      </c>
      <c r="C2349" s="48">
        <f t="shared" si="135"/>
        <v>40926</v>
      </c>
      <c r="D2349" s="48" t="s">
        <v>1737</v>
      </c>
      <c r="E2349" s="48">
        <v>40926</v>
      </c>
      <c r="F2349" s="919" t="s">
        <v>1519</v>
      </c>
      <c r="G2349" s="872" t="s">
        <v>1549</v>
      </c>
      <c r="H2349" s="909" t="s">
        <v>1705</v>
      </c>
      <c r="I2349" s="250">
        <v>75</v>
      </c>
      <c r="J2349" s="250">
        <v>16027.151601742615</v>
      </c>
      <c r="K2349" s="51">
        <f t="shared" si="134"/>
        <v>1202036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customHeight="1">
      <c r="A2350" s="204" t="str">
        <f>IF(B2350&lt;&gt;"",IF(AND(B2350&gt;=_TM1,B2350&lt;=_TM2,OR(TH!L2350="1111",TH!M2350="1111")),TH!D2350,""),"")</f>
        <v/>
      </c>
      <c r="B2350" s="36">
        <f t="shared" si="136"/>
        <v>1</v>
      </c>
      <c r="C2350" s="48">
        <f t="shared" si="135"/>
        <v>40938</v>
      </c>
      <c r="D2350" s="48" t="s">
        <v>1737</v>
      </c>
      <c r="E2350" s="48">
        <v>40938</v>
      </c>
      <c r="F2350" s="919" t="s">
        <v>1496</v>
      </c>
      <c r="G2350" s="872" t="s">
        <v>1551</v>
      </c>
      <c r="H2350" s="909" t="s">
        <v>1705</v>
      </c>
      <c r="I2350" s="250">
        <v>210</v>
      </c>
      <c r="J2350" s="250">
        <v>10443.018268409285</v>
      </c>
      <c r="K2350" s="51">
        <f t="shared" si="134"/>
        <v>2193034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customHeight="1">
      <c r="A2351" s="204" t="str">
        <f>IF(B2351&lt;&gt;"",IF(AND(B2351&gt;=_TM1,B2351&lt;=_TM2,OR(TH!L2351="1111",TH!M2351="1111")),TH!D2351,""),"")</f>
        <v/>
      </c>
      <c r="B2351" s="36">
        <f t="shared" si="136"/>
        <v>1</v>
      </c>
      <c r="C2351" s="48">
        <f t="shared" si="135"/>
        <v>40938</v>
      </c>
      <c r="D2351" s="48" t="s">
        <v>1737</v>
      </c>
      <c r="E2351" s="48">
        <v>40938</v>
      </c>
      <c r="F2351" s="919" t="s">
        <v>1555</v>
      </c>
      <c r="G2351" s="872" t="s">
        <v>1551</v>
      </c>
      <c r="H2351" s="909" t="s">
        <v>1705</v>
      </c>
      <c r="I2351" s="250">
        <v>80</v>
      </c>
      <c r="J2351" s="250">
        <v>8364.0182684092852</v>
      </c>
      <c r="K2351" s="51">
        <f t="shared" si="134"/>
        <v>669121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customHeight="1">
      <c r="A2352" s="204" t="str">
        <f>IF(B2352&lt;&gt;"",IF(AND(B2352&gt;=_TM1,B2352&lt;=_TM2,OR(TH!L2352="1111",TH!M2352="1111")),TH!D2352,""),"")</f>
        <v/>
      </c>
      <c r="B2352" s="36">
        <f t="shared" si="136"/>
        <v>1</v>
      </c>
      <c r="C2352" s="48">
        <f t="shared" si="135"/>
        <v>40938</v>
      </c>
      <c r="D2352" s="48" t="s">
        <v>1737</v>
      </c>
      <c r="E2352" s="48">
        <v>40938</v>
      </c>
      <c r="F2352" s="919" t="s">
        <v>1526</v>
      </c>
      <c r="G2352" s="872" t="s">
        <v>1551</v>
      </c>
      <c r="H2352" s="909" t="s">
        <v>1705</v>
      </c>
      <c r="I2352" s="250">
        <v>210</v>
      </c>
      <c r="J2352" s="250">
        <v>13890.161125552142</v>
      </c>
      <c r="K2352" s="51">
        <f t="shared" si="134"/>
        <v>2916934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customHeight="1">
      <c r="A2353" s="204" t="str">
        <f>IF(B2353&lt;&gt;"",IF(AND(B2353&gt;=_TM1,B2353&lt;=_TM2,OR(TH!L2353="1111",TH!M2353="1111")),TH!D2353,""),"")</f>
        <v/>
      </c>
      <c r="B2353" s="36">
        <f t="shared" si="136"/>
        <v>1</v>
      </c>
      <c r="C2353" s="48">
        <f t="shared" si="135"/>
        <v>40938</v>
      </c>
      <c r="D2353" s="48" t="s">
        <v>1737</v>
      </c>
      <c r="E2353" s="48">
        <v>40938</v>
      </c>
      <c r="F2353" s="919" t="s">
        <v>1522</v>
      </c>
      <c r="G2353" s="872" t="s">
        <v>1551</v>
      </c>
      <c r="H2353" s="909" t="s">
        <v>1705</v>
      </c>
      <c r="I2353" s="250">
        <v>230</v>
      </c>
      <c r="J2353" s="250">
        <v>18024.105224931027</v>
      </c>
      <c r="K2353" s="51">
        <f t="shared" si="134"/>
        <v>4145544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customHeight="1">
      <c r="A2354" s="204" t="str">
        <f>IF(B2354&lt;&gt;"",IF(AND(B2354&gt;=_TM1,B2354&lt;=_TM2,OR(TH!L2354="1111",TH!M2354="1111")),TH!D2354,""),"")</f>
        <v/>
      </c>
      <c r="B2354" s="36">
        <f t="shared" si="136"/>
        <v>1</v>
      </c>
      <c r="C2354" s="48">
        <f t="shared" si="135"/>
        <v>40938</v>
      </c>
      <c r="D2354" s="48" t="s">
        <v>1737</v>
      </c>
      <c r="E2354" s="48">
        <v>40938</v>
      </c>
      <c r="F2354" s="919" t="s">
        <v>1516</v>
      </c>
      <c r="G2354" s="872" t="s">
        <v>1551</v>
      </c>
      <c r="H2354" s="909" t="s">
        <v>1705</v>
      </c>
      <c r="I2354" s="250">
        <v>310</v>
      </c>
      <c r="J2354" s="250">
        <v>17843.218268409284</v>
      </c>
      <c r="K2354" s="51">
        <f t="shared" si="134"/>
        <v>5531398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customHeight="1">
      <c r="A2355" s="204" t="str">
        <f>IF(B2355&lt;&gt;"",IF(AND(B2355&gt;=_TM1,B2355&lt;=_TM2,OR(TH!L2355="1111",TH!M2355="1111")),TH!D2355,""),"")</f>
        <v/>
      </c>
      <c r="B2355" s="36">
        <f t="shared" si="136"/>
        <v>1</v>
      </c>
      <c r="C2355" s="48">
        <f t="shared" si="135"/>
        <v>40938</v>
      </c>
      <c r="D2355" s="48" t="s">
        <v>1737</v>
      </c>
      <c r="E2355" s="48">
        <v>40938</v>
      </c>
      <c r="F2355" s="919" t="s">
        <v>1524</v>
      </c>
      <c r="G2355" s="872" t="s">
        <v>1551</v>
      </c>
      <c r="H2355" s="909" t="s">
        <v>1705</v>
      </c>
      <c r="I2355" s="250">
        <v>370</v>
      </c>
      <c r="J2355" s="250">
        <v>18380.720971111987</v>
      </c>
      <c r="K2355" s="51">
        <f t="shared" si="134"/>
        <v>6800867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customHeight="1">
      <c r="A2356" s="204" t="str">
        <f>IF(B2356&lt;&gt;"",IF(AND(B2356&gt;=_TM1,B2356&lt;=_TM2,OR(TH!L2356="1111",TH!M2356="1111")),TH!D2356,""),"")</f>
        <v/>
      </c>
      <c r="B2356" s="36">
        <f t="shared" si="136"/>
        <v>1</v>
      </c>
      <c r="C2356" s="48">
        <f t="shared" si="135"/>
        <v>40938</v>
      </c>
      <c r="D2356" s="48" t="s">
        <v>1737</v>
      </c>
      <c r="E2356" s="48">
        <v>40938</v>
      </c>
      <c r="F2356" s="919" t="s">
        <v>1498</v>
      </c>
      <c r="G2356" s="872" t="s">
        <v>1551</v>
      </c>
      <c r="H2356" s="909" t="s">
        <v>1705</v>
      </c>
      <c r="I2356" s="250">
        <v>173</v>
      </c>
      <c r="J2356" s="250">
        <v>8330.0413897965682</v>
      </c>
      <c r="K2356" s="51">
        <f t="shared" si="134"/>
        <v>1441097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customHeight="1">
      <c r="A2357" s="204" t="str">
        <f>IF(B2357&lt;&gt;"",IF(AND(B2357&gt;=_TM1,B2357&lt;=_TM2,OR(TH!L2357="1111",TH!M2357="1111")),TH!D2357,""),"")</f>
        <v/>
      </c>
      <c r="B2357" s="36">
        <f t="shared" si="136"/>
        <v>1</v>
      </c>
      <c r="C2357" s="48">
        <f t="shared" si="135"/>
        <v>40938</v>
      </c>
      <c r="D2357" s="48" t="s">
        <v>1737</v>
      </c>
      <c r="E2357" s="48">
        <v>40938</v>
      </c>
      <c r="F2357" s="919" t="s">
        <v>1509</v>
      </c>
      <c r="G2357" s="872" t="s">
        <v>1551</v>
      </c>
      <c r="H2357" s="909" t="s">
        <v>1705</v>
      </c>
      <c r="I2357" s="250">
        <v>150</v>
      </c>
      <c r="J2357" s="250">
        <v>9692.684935075953</v>
      </c>
      <c r="K2357" s="51">
        <f t="shared" si="134"/>
        <v>1453903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customHeight="1">
      <c r="A2358" s="204" t="str">
        <f>IF(B2358&lt;&gt;"",IF(AND(B2358&gt;=_TM1,B2358&lt;=_TM2,OR(TH!L2358="1111",TH!M2358="1111")),TH!D2358,""),"")</f>
        <v/>
      </c>
      <c r="B2358" s="36">
        <f t="shared" si="136"/>
        <v>1</v>
      </c>
      <c r="C2358" s="48">
        <f t="shared" si="135"/>
        <v>40938</v>
      </c>
      <c r="D2358" s="48" t="s">
        <v>1737</v>
      </c>
      <c r="E2358" s="48">
        <v>40938</v>
      </c>
      <c r="F2358" s="919" t="s">
        <v>1519</v>
      </c>
      <c r="G2358" s="872" t="s">
        <v>1551</v>
      </c>
      <c r="H2358" s="909" t="s">
        <v>1705</v>
      </c>
      <c r="I2358" s="250">
        <v>210</v>
      </c>
      <c r="J2358" s="250">
        <v>14835.161125552142</v>
      </c>
      <c r="K2358" s="51">
        <f t="shared" si="134"/>
        <v>3115384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customHeight="1">
      <c r="A2359" s="204" t="str">
        <f>IF(B2359&lt;&gt;"",IF(AND(B2359&gt;=_TM1,B2359&lt;=_TM2,OR(TH!L2359="1111",TH!M2359="1111")),TH!D2359,""),"")</f>
        <v/>
      </c>
      <c r="B2359" s="36">
        <f t="shared" si="136"/>
        <v>1</v>
      </c>
      <c r="C2359" s="48">
        <f t="shared" si="135"/>
        <v>40938</v>
      </c>
      <c r="D2359" s="48" t="s">
        <v>1737</v>
      </c>
      <c r="E2359" s="48">
        <v>40938</v>
      </c>
      <c r="F2359" s="919" t="s">
        <v>1516</v>
      </c>
      <c r="G2359" s="872" t="s">
        <v>1551</v>
      </c>
      <c r="H2359" s="909" t="s">
        <v>1705</v>
      </c>
      <c r="I2359" s="250">
        <v>250</v>
      </c>
      <c r="J2359" s="250">
        <v>16253.138268409284</v>
      </c>
      <c r="K2359" s="51">
        <f t="shared" si="134"/>
        <v>4063285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customHeight="1">
      <c r="A2360" s="204" t="str">
        <f>IF(B2360&lt;&gt;"",IF(AND(B2360&gt;=_TM1,B2360&lt;=_TM2,OR(TH!L2360="1111",TH!M2360="1111")),TH!D2360,""),"")</f>
        <v/>
      </c>
      <c r="B2360" s="36">
        <f t="shared" si="136"/>
        <v>1</v>
      </c>
      <c r="C2360" s="48">
        <f t="shared" si="135"/>
        <v>40939</v>
      </c>
      <c r="D2360" s="48" t="s">
        <v>1737</v>
      </c>
      <c r="E2360" s="48">
        <v>40939</v>
      </c>
      <c r="F2360" s="919" t="s">
        <v>1498</v>
      </c>
      <c r="G2360" s="872" t="s">
        <v>1552</v>
      </c>
      <c r="H2360" s="909" t="s">
        <v>1705</v>
      </c>
      <c r="I2360" s="250">
        <v>130</v>
      </c>
      <c r="J2360" s="250">
        <v>12214.095191486209</v>
      </c>
      <c r="K2360" s="51">
        <f t="shared" si="134"/>
        <v>1587832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customHeight="1">
      <c r="A2361" s="204" t="str">
        <f>IF(B2361&lt;&gt;"",IF(AND(B2361&gt;=_TM1,B2361&lt;=_TM2,OR(TH!L2361="1111",TH!M2361="1111")),TH!D2361,""),"")</f>
        <v/>
      </c>
      <c r="B2361" s="36">
        <f t="shared" si="136"/>
        <v>1</v>
      </c>
      <c r="C2361" s="48">
        <f t="shared" si="135"/>
        <v>40939</v>
      </c>
      <c r="D2361" s="48" t="s">
        <v>1737</v>
      </c>
      <c r="E2361" s="920">
        <v>40939</v>
      </c>
      <c r="F2361" s="734" t="s">
        <v>1556</v>
      </c>
      <c r="G2361" s="49" t="s">
        <v>1552</v>
      </c>
      <c r="H2361" s="909" t="s">
        <v>1705</v>
      </c>
      <c r="I2361" s="250">
        <v>12</v>
      </c>
      <c r="J2361" s="250">
        <v>15252.684935075951</v>
      </c>
      <c r="K2361" s="51">
        <f t="shared" si="134"/>
        <v>183032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customHeight="1">
      <c r="A2362" s="204" t="str">
        <f>IF(B2362&lt;&gt;"",IF(AND(B2362&gt;=_TM1,B2362&lt;=_TM2,OR(TH!L2362="1111",TH!M2362="1111")),TH!D2362,""),"")</f>
        <v/>
      </c>
      <c r="B2362" s="36">
        <f t="shared" si="136"/>
        <v>1</v>
      </c>
      <c r="C2362" s="48">
        <f t="shared" si="135"/>
        <v>40939</v>
      </c>
      <c r="D2362" s="48" t="s">
        <v>1737</v>
      </c>
      <c r="E2362" s="920">
        <v>40939</v>
      </c>
      <c r="F2362" s="49" t="s">
        <v>1550</v>
      </c>
      <c r="G2362" s="49" t="s">
        <v>1552</v>
      </c>
      <c r="H2362" s="909" t="s">
        <v>1705</v>
      </c>
      <c r="I2362" s="250">
        <v>140</v>
      </c>
      <c r="J2362" s="250">
        <v>16482.975411266427</v>
      </c>
      <c r="K2362" s="51">
        <f t="shared" si="134"/>
        <v>2307617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customHeight="1">
      <c r="A2363" s="204" t="str">
        <f>IF(B2363&lt;&gt;"",IF(AND(B2363&gt;=_TM1,B2363&lt;=_TM2,OR(TH!L2363="1111",TH!M2363="1111")),TH!D2363,""),"")</f>
        <v/>
      </c>
      <c r="B2363" s="36">
        <f t="shared" si="136"/>
        <v>1</v>
      </c>
      <c r="C2363" s="48">
        <f t="shared" si="135"/>
        <v>40939</v>
      </c>
      <c r="D2363" s="48" t="s">
        <v>1737</v>
      </c>
      <c r="E2363" s="920">
        <v>40939</v>
      </c>
      <c r="F2363" s="734" t="s">
        <v>1516</v>
      </c>
      <c r="G2363" s="49" t="s">
        <v>1552</v>
      </c>
      <c r="H2363" s="909" t="s">
        <v>1705</v>
      </c>
      <c r="I2363" s="250">
        <v>180</v>
      </c>
      <c r="J2363" s="250">
        <v>19539.684935075951</v>
      </c>
      <c r="K2363" s="51">
        <f t="shared" si="134"/>
        <v>3517143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customHeight="1">
      <c r="A2364" s="204" t="str">
        <f>IF(B2364&lt;&gt;"",IF(AND(B2364&gt;=_TM1,B2364&lt;=_TM2,OR(TH!L2364="1111",TH!M2364="1111")),TH!D2364,""),"")</f>
        <v/>
      </c>
      <c r="B2364" s="36">
        <f t="shared" si="136"/>
        <v>1</v>
      </c>
      <c r="C2364" s="48">
        <f t="shared" si="135"/>
        <v>40939</v>
      </c>
      <c r="D2364" s="48" t="s">
        <v>1737</v>
      </c>
      <c r="E2364" s="920">
        <v>40939</v>
      </c>
      <c r="F2364" s="734" t="s">
        <v>1517</v>
      </c>
      <c r="G2364" s="49" t="s">
        <v>1552</v>
      </c>
      <c r="H2364" s="909" t="s">
        <v>1705</v>
      </c>
      <c r="I2364" s="250">
        <v>310</v>
      </c>
      <c r="J2364" s="250">
        <v>18324.469881312511</v>
      </c>
      <c r="K2364" s="51">
        <f t="shared" si="134"/>
        <v>5680586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customHeight="1">
      <c r="A2365" s="204" t="str">
        <f>IF(B2365&lt;&gt;"",IF(AND(B2365&gt;=_TM1,B2365&lt;=_TM2,OR(TH!L2365="1111",TH!M2365="1111")),TH!D2365,""),"")</f>
        <v/>
      </c>
      <c r="B2365" s="36">
        <f t="shared" si="136"/>
        <v>1</v>
      </c>
      <c r="C2365" s="48">
        <f t="shared" si="135"/>
        <v>40939</v>
      </c>
      <c r="D2365" s="48" t="s">
        <v>1737</v>
      </c>
      <c r="E2365" s="920">
        <v>40939</v>
      </c>
      <c r="F2365" s="734" t="s">
        <v>1526</v>
      </c>
      <c r="G2365" s="49" t="s">
        <v>1552</v>
      </c>
      <c r="H2365" s="909" t="s">
        <v>1705</v>
      </c>
      <c r="I2365" s="250">
        <v>160</v>
      </c>
      <c r="J2365" s="250">
        <v>10034.268268409285</v>
      </c>
      <c r="K2365" s="51">
        <f t="shared" si="134"/>
        <v>1605483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customHeight="1">
      <c r="A2366" s="204" t="str">
        <f>IF(B2366&lt;&gt;"",IF(AND(B2366&gt;=_TM1,B2366&lt;=_TM2,OR(TH!L2366="1111",TH!M2366="1111")),TH!D2366,""),"")</f>
        <v/>
      </c>
      <c r="B2366" s="36">
        <f t="shared" si="136"/>
        <v>1</v>
      </c>
      <c r="C2366" s="48">
        <f t="shared" si="135"/>
        <v>40939</v>
      </c>
      <c r="D2366" s="48" t="s">
        <v>1737</v>
      </c>
      <c r="E2366" s="920">
        <v>40939</v>
      </c>
      <c r="F2366" s="49" t="s">
        <v>1522</v>
      </c>
      <c r="G2366" s="49" t="s">
        <v>1552</v>
      </c>
      <c r="H2366" s="909" t="s">
        <v>1705</v>
      </c>
      <c r="I2366" s="250">
        <v>270</v>
      </c>
      <c r="J2366" s="250">
        <v>16730.573823964842</v>
      </c>
      <c r="K2366" s="51">
        <f t="shared" si="134"/>
        <v>4517255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customHeight="1">
      <c r="A2367" s="204" t="str">
        <f>IF(B2367&lt;&gt;"",IF(AND(B2367&gt;=_TM1,B2367&lt;=_TM2,OR(TH!L2367="1111",TH!M2367="1111")),TH!D2367,""),"")</f>
        <v/>
      </c>
      <c r="B2367" s="36">
        <f t="shared" si="136"/>
        <v>1</v>
      </c>
      <c r="C2367" s="48">
        <f t="shared" si="135"/>
        <v>40939</v>
      </c>
      <c r="D2367" s="48" t="s">
        <v>1737</v>
      </c>
      <c r="E2367" s="920">
        <v>40939</v>
      </c>
      <c r="F2367" s="49" t="s">
        <v>1516</v>
      </c>
      <c r="G2367" s="49" t="s">
        <v>1552</v>
      </c>
      <c r="H2367" s="909" t="s">
        <v>1705</v>
      </c>
      <c r="I2367" s="250">
        <v>151</v>
      </c>
      <c r="J2367" s="250">
        <v>16471.932175694055</v>
      </c>
      <c r="K2367" s="51">
        <f t="shared" si="134"/>
        <v>2487262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customHeight="1">
      <c r="A2368" s="204" t="str">
        <f>IF(B2368&lt;&gt;"",IF(AND(B2368&gt;=_TM1,B2368&lt;=_TM2,OR(TH!L2368="1111",TH!M2368="1111")),TH!D2368,""),"")</f>
        <v/>
      </c>
      <c r="B2368" s="36">
        <f t="shared" si="136"/>
        <v>1</v>
      </c>
      <c r="C2368" s="48">
        <f t="shared" si="135"/>
        <v>40939</v>
      </c>
      <c r="D2368" s="48" t="s">
        <v>1737</v>
      </c>
      <c r="E2368" s="920">
        <v>40939</v>
      </c>
      <c r="F2368" s="734" t="s">
        <v>1524</v>
      </c>
      <c r="G2368" s="49" t="s">
        <v>1552</v>
      </c>
      <c r="H2368" s="909" t="s">
        <v>1705</v>
      </c>
      <c r="I2368" s="250">
        <v>60</v>
      </c>
      <c r="J2368" s="250">
        <v>19032.184935075951</v>
      </c>
      <c r="K2368" s="51">
        <f t="shared" si="134"/>
        <v>1141931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customHeight="1">
      <c r="A2369" s="204" t="str">
        <f>IF(B2369&lt;&gt;"",IF(AND(B2369&gt;=_TM1,B2369&lt;=_TM2,OR(TH!L2369="1111",TH!M2369="1111")),TH!D2369,""),"")</f>
        <v/>
      </c>
      <c r="B2369" s="36">
        <f t="shared" si="136"/>
        <v>1</v>
      </c>
      <c r="C2369" s="48">
        <f t="shared" si="135"/>
        <v>40939</v>
      </c>
      <c r="D2369" s="48" t="s">
        <v>1737</v>
      </c>
      <c r="E2369" s="920">
        <v>40939</v>
      </c>
      <c r="F2369" s="734" t="s">
        <v>1498</v>
      </c>
      <c r="G2369" s="49" t="s">
        <v>1552</v>
      </c>
      <c r="H2369" s="909" t="s">
        <v>1705</v>
      </c>
      <c r="I2369" s="250">
        <v>150</v>
      </c>
      <c r="J2369" s="250">
        <v>12113.751601742619</v>
      </c>
      <c r="K2369" s="51">
        <f t="shared" si="134"/>
        <v>1817063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customHeight="1">
      <c r="A2370" s="204" t="str">
        <f>IF(B2370&lt;&gt;"",IF(AND(B2370&gt;=_TM1,B2370&lt;=_TM2,OR(TH!L2370="1111",TH!M2370="1111")),TH!D2370,""),"")</f>
        <v/>
      </c>
      <c r="B2370" s="36">
        <f t="shared" si="136"/>
        <v>2</v>
      </c>
      <c r="C2370" s="48">
        <f t="shared" si="135"/>
        <v>40946</v>
      </c>
      <c r="D2370" s="48" t="s">
        <v>1737</v>
      </c>
      <c r="E2370" s="920">
        <v>40946</v>
      </c>
      <c r="F2370" s="734" t="s">
        <v>1234</v>
      </c>
      <c r="G2370" s="49" t="s">
        <v>932</v>
      </c>
      <c r="H2370" s="909" t="s">
        <v>1705</v>
      </c>
      <c r="I2370" s="250">
        <v>600</v>
      </c>
      <c r="J2370" s="250">
        <v>18873.07326840928</v>
      </c>
      <c r="K2370" s="51">
        <f t="shared" si="134"/>
        <v>11323844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customHeight="1">
      <c r="A2371" s="204" t="str">
        <f>IF(B2371&lt;&gt;"",IF(AND(B2371&gt;=_TM1,B2371&lt;=_TM2,OR(TH!L2371="1111",TH!M2371="1111")),TH!D2371,""),"")</f>
        <v/>
      </c>
      <c r="B2371" s="36">
        <f t="shared" si="136"/>
        <v>2</v>
      </c>
      <c r="C2371" s="48">
        <f t="shared" si="135"/>
        <v>40946</v>
      </c>
      <c r="D2371" s="48" t="s">
        <v>1737</v>
      </c>
      <c r="E2371" s="920">
        <v>40946</v>
      </c>
      <c r="F2371" s="49" t="s">
        <v>1206</v>
      </c>
      <c r="G2371" s="49" t="s">
        <v>932</v>
      </c>
      <c r="H2371" s="909" t="s">
        <v>1705</v>
      </c>
      <c r="I2371" s="250">
        <v>200</v>
      </c>
      <c r="J2371" s="250">
        <v>12561.018268409283</v>
      </c>
      <c r="K2371" s="51">
        <f t="shared" si="134"/>
        <v>2512204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customHeight="1">
      <c r="A2372" s="204" t="str">
        <f>IF(B2372&lt;&gt;"",IF(AND(B2372&gt;=_TM1,B2372&lt;=_TM2,OR(TH!L2372="1111",TH!M2372="1111")),TH!D2372,""),"")</f>
        <v/>
      </c>
      <c r="B2372" s="36">
        <f t="shared" si="136"/>
        <v>2</v>
      </c>
      <c r="C2372" s="48">
        <f t="shared" si="135"/>
        <v>40946</v>
      </c>
      <c r="D2372" s="48" t="s">
        <v>1737</v>
      </c>
      <c r="E2372" s="920">
        <v>40946</v>
      </c>
      <c r="F2372" s="49" t="s">
        <v>1233</v>
      </c>
      <c r="G2372" s="49" t="s">
        <v>932</v>
      </c>
      <c r="H2372" s="909" t="s">
        <v>1705</v>
      </c>
      <c r="I2372" s="250">
        <v>300</v>
      </c>
      <c r="J2372" s="250">
        <v>21933.01826840928</v>
      </c>
      <c r="K2372" s="51">
        <f t="shared" ref="K2372:K2435" si="137">ROUND(I2372*J2372,0)</f>
        <v>6579905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customHeight="1">
      <c r="A2373" s="204" t="str">
        <f>IF(B2373&lt;&gt;"",IF(AND(B2373&gt;=_TM1,B2373&lt;=_TM2,OR(TH!L2373="1111",TH!M2373="1111")),TH!D2373,""),"")</f>
        <v/>
      </c>
      <c r="B2373" s="36">
        <f t="shared" si="136"/>
        <v>2</v>
      </c>
      <c r="C2373" s="48">
        <f t="shared" si="135"/>
        <v>40946</v>
      </c>
      <c r="D2373" s="48" t="s">
        <v>1737</v>
      </c>
      <c r="E2373" s="920">
        <v>40946</v>
      </c>
      <c r="F2373" s="921" t="s">
        <v>933</v>
      </c>
      <c r="G2373" s="49" t="s">
        <v>932</v>
      </c>
      <c r="H2373" s="909" t="s">
        <v>1705</v>
      </c>
      <c r="I2373" s="250">
        <v>900</v>
      </c>
      <c r="J2373" s="250">
        <v>1872.8627128537294</v>
      </c>
      <c r="K2373" s="51">
        <f t="shared" si="137"/>
        <v>1685576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customHeight="1">
      <c r="A2374" s="204" t="str">
        <f>IF(B2374&lt;&gt;"",IF(AND(B2374&gt;=_TM1,B2374&lt;=_TM2,OR(TH!L2374="1111",TH!M2374="1111")),TH!D2374,""),"")</f>
        <v/>
      </c>
      <c r="B2374" s="36">
        <f t="shared" si="136"/>
        <v>2</v>
      </c>
      <c r="C2374" s="48">
        <f t="shared" si="135"/>
        <v>40946</v>
      </c>
      <c r="D2374" s="48" t="s">
        <v>1737</v>
      </c>
      <c r="E2374" s="920">
        <v>40946</v>
      </c>
      <c r="F2374" s="734" t="s">
        <v>934</v>
      </c>
      <c r="G2374" s="49" t="s">
        <v>932</v>
      </c>
      <c r="H2374" s="909" t="s">
        <v>1705</v>
      </c>
      <c r="I2374" s="250">
        <v>900</v>
      </c>
      <c r="J2374" s="250">
        <v>1872.8627128537294</v>
      </c>
      <c r="K2374" s="51">
        <f t="shared" si="137"/>
        <v>1685576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customHeight="1">
      <c r="A2375" s="204" t="str">
        <f>IF(B2375&lt;&gt;"",IF(AND(B2375&gt;=_TM1,B2375&lt;=_TM2,OR(TH!L2375="1111",TH!M2375="1111")),TH!D2375,""),"")</f>
        <v/>
      </c>
      <c r="B2375" s="36">
        <f t="shared" si="136"/>
        <v>2</v>
      </c>
      <c r="C2375" s="48">
        <f t="shared" si="135"/>
        <v>40953</v>
      </c>
      <c r="D2375" s="48" t="s">
        <v>1737</v>
      </c>
      <c r="E2375" s="920">
        <v>40953</v>
      </c>
      <c r="F2375" s="49" t="s">
        <v>935</v>
      </c>
      <c r="G2375" s="49" t="s">
        <v>936</v>
      </c>
      <c r="H2375" s="909" t="s">
        <v>1705</v>
      </c>
      <c r="I2375" s="250">
        <v>498</v>
      </c>
      <c r="J2375" s="250">
        <v>7317.0945736301683</v>
      </c>
      <c r="K2375" s="51">
        <f t="shared" si="137"/>
        <v>3643913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customHeight="1">
      <c r="A2376" s="204" t="str">
        <f>IF(B2376&lt;&gt;"",IF(AND(B2376&gt;=_TM1,B2376&lt;=_TM2,OR(TH!L2376="1111",TH!M2376="1111")),TH!D2376,""),"")</f>
        <v/>
      </c>
      <c r="B2376" s="36">
        <f t="shared" si="136"/>
        <v>2</v>
      </c>
      <c r="C2376" s="48">
        <f t="shared" si="135"/>
        <v>40953</v>
      </c>
      <c r="D2376" s="48" t="s">
        <v>1737</v>
      </c>
      <c r="E2376" s="920">
        <v>40953</v>
      </c>
      <c r="F2376" s="734" t="s">
        <v>1157</v>
      </c>
      <c r="G2376" s="49" t="s">
        <v>1553</v>
      </c>
      <c r="H2376" s="909" t="s">
        <v>1705</v>
      </c>
      <c r="I2376" s="250">
        <v>850</v>
      </c>
      <c r="J2376" s="250">
        <v>9685.4865037034033</v>
      </c>
      <c r="K2376" s="51">
        <f t="shared" si="137"/>
        <v>8232664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customHeight="1">
      <c r="A2377" s="204" t="str">
        <f>IF(B2377&lt;&gt;"",IF(AND(B2377&gt;=_TM1,B2377&lt;=_TM2,OR(TH!L2377="1111",TH!M2377="1111")),TH!D2377,""),"")</f>
        <v/>
      </c>
      <c r="B2377" s="36">
        <f t="shared" si="136"/>
        <v>2</v>
      </c>
      <c r="C2377" s="48">
        <f t="shared" si="135"/>
        <v>40956</v>
      </c>
      <c r="D2377" s="48" t="s">
        <v>1737</v>
      </c>
      <c r="E2377" s="920">
        <v>40956</v>
      </c>
      <c r="F2377" s="49" t="s">
        <v>551</v>
      </c>
      <c r="G2377" s="49" t="s">
        <v>937</v>
      </c>
      <c r="H2377" s="909" t="s">
        <v>1705</v>
      </c>
      <c r="I2377" s="250">
        <v>500</v>
      </c>
      <c r="J2377" s="250">
        <v>10093.038268409284</v>
      </c>
      <c r="K2377" s="51">
        <f t="shared" si="137"/>
        <v>5046519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customHeight="1">
      <c r="A2378" s="204" t="str">
        <f>IF(B2378&lt;&gt;"",IF(AND(B2378&gt;=_TM1,B2378&lt;=_TM2,OR(TH!L2378="1111",TH!M2378="1111")),TH!D2378,""),"")</f>
        <v/>
      </c>
      <c r="B2378" s="36">
        <f t="shared" si="136"/>
        <v>2</v>
      </c>
      <c r="C2378" s="48">
        <f t="shared" si="135"/>
        <v>40959</v>
      </c>
      <c r="D2378" s="48" t="s">
        <v>1737</v>
      </c>
      <c r="E2378" s="920">
        <v>40959</v>
      </c>
      <c r="F2378" s="49" t="s">
        <v>1157</v>
      </c>
      <c r="G2378" s="49" t="s">
        <v>1554</v>
      </c>
      <c r="H2378" s="909" t="s">
        <v>1705</v>
      </c>
      <c r="I2378" s="250">
        <v>930</v>
      </c>
      <c r="J2378" s="250">
        <v>9381.2483759361676</v>
      </c>
      <c r="K2378" s="51">
        <f t="shared" si="137"/>
        <v>8724561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customHeight="1">
      <c r="A2379" s="204" t="str">
        <f>IF(B2379&lt;&gt;"",IF(AND(B2379&gt;=_TM1,B2379&lt;=_TM2,OR(TH!L2379="1111",TH!M2379="1111")),TH!D2379,""),"")</f>
        <v/>
      </c>
      <c r="B2379" s="36">
        <f t="shared" si="136"/>
        <v>2</v>
      </c>
      <c r="C2379" s="48">
        <f t="shared" si="135"/>
        <v>40959</v>
      </c>
      <c r="D2379" s="48" t="s">
        <v>1737</v>
      </c>
      <c r="E2379" s="920">
        <v>40959</v>
      </c>
      <c r="F2379" s="734" t="s">
        <v>1557</v>
      </c>
      <c r="G2379" s="49" t="s">
        <v>1554</v>
      </c>
      <c r="H2379" s="909" t="s">
        <v>1705</v>
      </c>
      <c r="I2379" s="250">
        <v>990</v>
      </c>
      <c r="J2379" s="250">
        <v>17296.656652247668</v>
      </c>
      <c r="K2379" s="51">
        <f t="shared" si="137"/>
        <v>17123690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customHeight="1">
      <c r="A2380" s="204" t="str">
        <f>IF(B2380&lt;&gt;"",IF(AND(B2380&gt;=_TM1,B2380&lt;=_TM2,OR(TH!L2380="1111",TH!M2380="1111")),TH!D2380,""),"")</f>
        <v/>
      </c>
      <c r="B2380" s="36">
        <f t="shared" si="136"/>
        <v>2</v>
      </c>
      <c r="C2380" s="48">
        <f t="shared" si="135"/>
        <v>40962</v>
      </c>
      <c r="D2380" s="48" t="s">
        <v>1737</v>
      </c>
      <c r="E2380" s="920">
        <v>40962</v>
      </c>
      <c r="F2380" s="49" t="s">
        <v>1490</v>
      </c>
      <c r="G2380" s="49" t="s">
        <v>938</v>
      </c>
      <c r="H2380" s="909" t="s">
        <v>1705</v>
      </c>
      <c r="I2380" s="250">
        <v>100</v>
      </c>
      <c r="J2380" s="250">
        <v>16353.268268409283</v>
      </c>
      <c r="K2380" s="51">
        <f t="shared" si="137"/>
        <v>1635327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customHeight="1">
      <c r="A2381" s="204" t="str">
        <f>IF(B2381&lt;&gt;"",IF(AND(B2381&gt;=_TM1,B2381&lt;=_TM2,OR(TH!L2381="1111",TH!M2381="1111")),TH!D2381,""),"")</f>
        <v/>
      </c>
      <c r="B2381" s="36">
        <f t="shared" si="136"/>
        <v>2</v>
      </c>
      <c r="C2381" s="48">
        <f t="shared" si="135"/>
        <v>40963</v>
      </c>
      <c r="D2381" s="48" t="s">
        <v>1737</v>
      </c>
      <c r="E2381" s="920">
        <v>40963</v>
      </c>
      <c r="F2381" s="734" t="s">
        <v>1559</v>
      </c>
      <c r="G2381" s="49" t="s">
        <v>1558</v>
      </c>
      <c r="H2381" s="909" t="s">
        <v>1705</v>
      </c>
      <c r="I2381" s="250">
        <v>200</v>
      </c>
      <c r="J2381" s="250">
        <v>11030.158268409283</v>
      </c>
      <c r="K2381" s="51">
        <f t="shared" si="137"/>
        <v>2206032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customHeight="1">
      <c r="A2382" s="204" t="str">
        <f>IF(B2382&lt;&gt;"",IF(AND(B2382&gt;=_TM1,B2382&lt;=_TM2,OR(TH!L2382="1111",TH!M2382="1111")),TH!D2382,""),"")</f>
        <v/>
      </c>
      <c r="B2382" s="36">
        <f t="shared" si="136"/>
        <v>2</v>
      </c>
      <c r="C2382" s="48">
        <f t="shared" ref="C2382:C2445" si="138">E2382</f>
        <v>40963</v>
      </c>
      <c r="D2382" s="48" t="s">
        <v>1737</v>
      </c>
      <c r="E2382" s="920">
        <v>40963</v>
      </c>
      <c r="F2382" s="734" t="s">
        <v>1560</v>
      </c>
      <c r="G2382" s="49" t="s">
        <v>1558</v>
      </c>
      <c r="H2382" s="909" t="s">
        <v>1705</v>
      </c>
      <c r="I2382" s="250">
        <v>200</v>
      </c>
      <c r="J2382" s="250">
        <v>2249.0182684092852</v>
      </c>
      <c r="K2382" s="51">
        <f t="shared" si="137"/>
        <v>449804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customHeight="1">
      <c r="A2383" s="204" t="str">
        <f>IF(B2383&lt;&gt;"",IF(AND(B2383&gt;=_TM1,B2383&lt;=_TM2,OR(TH!L2383="1111",TH!M2383="1111")),TH!D2383,""),"")</f>
        <v/>
      </c>
      <c r="B2383" s="36">
        <f t="shared" si="136"/>
        <v>2</v>
      </c>
      <c r="C2383" s="48">
        <f t="shared" si="138"/>
        <v>40965</v>
      </c>
      <c r="D2383" s="48" t="s">
        <v>1737</v>
      </c>
      <c r="E2383" s="920">
        <v>40965</v>
      </c>
      <c r="F2383" s="734" t="s">
        <v>1496</v>
      </c>
      <c r="G2383" s="49" t="s">
        <v>1495</v>
      </c>
      <c r="H2383" s="909" t="s">
        <v>1705</v>
      </c>
      <c r="I2383" s="250">
        <v>735</v>
      </c>
      <c r="J2383" s="250">
        <v>13590.4808534433</v>
      </c>
      <c r="K2383" s="51">
        <f t="shared" si="137"/>
        <v>9989003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customHeight="1">
      <c r="A2384" s="204" t="str">
        <f>IF(B2384&lt;&gt;"",IF(AND(B2384&gt;=_TM1,B2384&lt;=_TM2,OR(TH!L2384="1111",TH!M2384="1111")),TH!D2384,""),"")</f>
        <v/>
      </c>
      <c r="B2384" s="36">
        <f t="shared" si="136"/>
        <v>2</v>
      </c>
      <c r="C2384" s="48">
        <f t="shared" si="138"/>
        <v>40965</v>
      </c>
      <c r="D2384" s="48" t="s">
        <v>1737</v>
      </c>
      <c r="E2384" s="920">
        <v>40965</v>
      </c>
      <c r="F2384" s="49" t="s">
        <v>1497</v>
      </c>
      <c r="G2384" s="49" t="s">
        <v>1495</v>
      </c>
      <c r="H2384" s="909" t="s">
        <v>1705</v>
      </c>
      <c r="I2384" s="250">
        <v>2</v>
      </c>
      <c r="J2384" s="250">
        <v>5955.5182684092852</v>
      </c>
      <c r="K2384" s="51">
        <f t="shared" si="137"/>
        <v>11911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customHeight="1">
      <c r="A2385" s="204" t="str">
        <f>IF(B2385&lt;&gt;"",IF(AND(B2385&gt;=_TM1,B2385&lt;=_TM2,OR(TH!L2385="1111",TH!M2385="1111")),TH!D2385,""),"")</f>
        <v/>
      </c>
      <c r="B2385" s="36">
        <f t="shared" si="136"/>
        <v>2</v>
      </c>
      <c r="C2385" s="48">
        <f t="shared" si="138"/>
        <v>40965</v>
      </c>
      <c r="D2385" s="48" t="s">
        <v>1737</v>
      </c>
      <c r="E2385" s="920">
        <v>40965</v>
      </c>
      <c r="F2385" s="734" t="s">
        <v>1498</v>
      </c>
      <c r="G2385" s="49" t="s">
        <v>1495</v>
      </c>
      <c r="H2385" s="909" t="s">
        <v>1705</v>
      </c>
      <c r="I2385" s="250">
        <v>2</v>
      </c>
      <c r="J2385" s="250">
        <v>14509.018268409285</v>
      </c>
      <c r="K2385" s="51">
        <f t="shared" si="137"/>
        <v>29018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customHeight="1">
      <c r="A2386" s="204" t="str">
        <f>IF(B2386&lt;&gt;"",IF(AND(B2386&gt;=_TM1,B2386&lt;=_TM2,OR(TH!L2386="1111",TH!M2386="1111")),TH!D2386,""),"")</f>
        <v/>
      </c>
      <c r="B2386" s="36">
        <f t="shared" si="136"/>
        <v>2</v>
      </c>
      <c r="C2386" s="48">
        <f t="shared" si="138"/>
        <v>40965</v>
      </c>
      <c r="D2386" s="48" t="s">
        <v>1737</v>
      </c>
      <c r="E2386" s="920">
        <v>40965</v>
      </c>
      <c r="F2386" s="734" t="s">
        <v>1499</v>
      </c>
      <c r="G2386" s="49" t="s">
        <v>1495</v>
      </c>
      <c r="H2386" s="909" t="s">
        <v>1705</v>
      </c>
      <c r="I2386" s="250">
        <v>1</v>
      </c>
      <c r="J2386" s="250">
        <v>5956.0182684092852</v>
      </c>
      <c r="K2386" s="51">
        <f t="shared" si="137"/>
        <v>5956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customHeight="1">
      <c r="A2387" s="204" t="str">
        <f>IF(B2387&lt;&gt;"",IF(AND(B2387&gt;=_TM1,B2387&lt;=_TM2,OR(TH!L2387="1111",TH!M2387="1111")),TH!D2387,""),"")</f>
        <v/>
      </c>
      <c r="B2387" s="36">
        <f t="shared" si="136"/>
        <v>2</v>
      </c>
      <c r="C2387" s="48">
        <f t="shared" si="138"/>
        <v>40965</v>
      </c>
      <c r="D2387" s="48" t="s">
        <v>1737</v>
      </c>
      <c r="E2387" s="920">
        <v>40965</v>
      </c>
      <c r="F2387" s="734" t="s">
        <v>1500</v>
      </c>
      <c r="G2387" s="49" t="s">
        <v>1495</v>
      </c>
      <c r="H2387" s="909" t="s">
        <v>1705</v>
      </c>
      <c r="I2387" s="250">
        <v>1</v>
      </c>
      <c r="J2387" s="250">
        <v>10233.018268409285</v>
      </c>
      <c r="K2387" s="51">
        <f t="shared" si="137"/>
        <v>10233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customHeight="1">
      <c r="A2388" s="204" t="str">
        <f>IF(B2388&lt;&gt;"",IF(AND(B2388&gt;=_TM1,B2388&lt;=_TM2,OR(TH!L2388="1111",TH!M2388="1111")),TH!D2388,""),"")</f>
        <v/>
      </c>
      <c r="B2388" s="36">
        <f t="shared" si="136"/>
        <v>2</v>
      </c>
      <c r="C2388" s="48">
        <f t="shared" si="138"/>
        <v>40965</v>
      </c>
      <c r="D2388" s="48" t="s">
        <v>1737</v>
      </c>
      <c r="E2388" s="920">
        <v>40965</v>
      </c>
      <c r="F2388" s="49" t="s">
        <v>1501</v>
      </c>
      <c r="G2388" s="49" t="s">
        <v>1495</v>
      </c>
      <c r="H2388" s="909" t="s">
        <v>1705</v>
      </c>
      <c r="I2388" s="250">
        <v>1</v>
      </c>
      <c r="J2388" s="250">
        <v>5956.0182684092852</v>
      </c>
      <c r="K2388" s="51">
        <f t="shared" si="137"/>
        <v>5956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customHeight="1">
      <c r="A2389" s="204" t="str">
        <f>IF(B2389&lt;&gt;"",IF(AND(B2389&gt;=_TM1,B2389&lt;=_TM2,OR(TH!L2389="1111",TH!M2389="1111")),TH!D2389,""),"")</f>
        <v/>
      </c>
      <c r="B2389" s="36">
        <f t="shared" si="136"/>
        <v>2</v>
      </c>
      <c r="C2389" s="48">
        <f t="shared" si="138"/>
        <v>40965</v>
      </c>
      <c r="D2389" s="48" t="s">
        <v>1737</v>
      </c>
      <c r="E2389" s="920">
        <v>40965</v>
      </c>
      <c r="F2389" s="49" t="s">
        <v>1502</v>
      </c>
      <c r="G2389" s="49" t="s">
        <v>1495</v>
      </c>
      <c r="H2389" s="909" t="s">
        <v>1705</v>
      </c>
      <c r="I2389" s="250">
        <v>1</v>
      </c>
      <c r="J2389" s="250">
        <v>5956.0182684092852</v>
      </c>
      <c r="K2389" s="51">
        <f t="shared" si="137"/>
        <v>5956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customHeight="1">
      <c r="A2390" s="204" t="str">
        <f>IF(B2390&lt;&gt;"",IF(AND(B2390&gt;=_TM1,B2390&lt;=_TM2,OR(TH!L2390="1111",TH!M2390="1111")),TH!D2390,""),"")</f>
        <v/>
      </c>
      <c r="B2390" s="36">
        <f t="shared" si="136"/>
        <v>2</v>
      </c>
      <c r="C2390" s="48">
        <f t="shared" si="138"/>
        <v>40965</v>
      </c>
      <c r="D2390" s="48" t="s">
        <v>1737</v>
      </c>
      <c r="E2390" s="920">
        <v>40965</v>
      </c>
      <c r="F2390" s="921" t="s">
        <v>1503</v>
      </c>
      <c r="G2390" s="49" t="s">
        <v>1495</v>
      </c>
      <c r="H2390" s="909" t="s">
        <v>1705</v>
      </c>
      <c r="I2390" s="250">
        <v>1</v>
      </c>
      <c r="J2390" s="250">
        <v>5956.0182684092852</v>
      </c>
      <c r="K2390" s="51">
        <f t="shared" si="137"/>
        <v>5956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customHeight="1">
      <c r="A2391" s="204" t="str">
        <f>IF(B2391&lt;&gt;"",IF(AND(B2391&gt;=_TM1,B2391&lt;=_TM2,OR(TH!L2391="1111",TH!M2391="1111")),TH!D2391,""),"")</f>
        <v/>
      </c>
      <c r="B2391" s="36">
        <f t="shared" si="136"/>
        <v>2</v>
      </c>
      <c r="C2391" s="48">
        <f t="shared" si="138"/>
        <v>40965</v>
      </c>
      <c r="D2391" s="48" t="s">
        <v>1737</v>
      </c>
      <c r="E2391" s="920">
        <v>40965</v>
      </c>
      <c r="F2391" s="49" t="s">
        <v>1504</v>
      </c>
      <c r="G2391" s="49" t="s">
        <v>1495</v>
      </c>
      <c r="H2391" s="909" t="s">
        <v>1705</v>
      </c>
      <c r="I2391" s="250">
        <v>167</v>
      </c>
      <c r="J2391" s="250">
        <v>8708.0781486488067</v>
      </c>
      <c r="K2391" s="51">
        <f t="shared" si="137"/>
        <v>1454249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customHeight="1">
      <c r="A2392" s="204" t="str">
        <f>IF(B2392&lt;&gt;"",IF(AND(B2392&gt;=_TM1,B2392&lt;=_TM2,OR(TH!L2392="1111",TH!M2392="1111")),TH!D2392,""),"")</f>
        <v/>
      </c>
      <c r="B2392" s="36">
        <f t="shared" si="136"/>
        <v>2</v>
      </c>
      <c r="C2392" s="48">
        <f t="shared" si="138"/>
        <v>40965</v>
      </c>
      <c r="D2392" s="48" t="s">
        <v>1737</v>
      </c>
      <c r="E2392" s="920">
        <v>40965</v>
      </c>
      <c r="F2392" s="49" t="s">
        <v>1505</v>
      </c>
      <c r="G2392" s="49" t="s">
        <v>1495</v>
      </c>
      <c r="H2392" s="909" t="s">
        <v>1705</v>
      </c>
      <c r="I2392" s="250">
        <v>364</v>
      </c>
      <c r="J2392" s="250">
        <v>10107.345191486207</v>
      </c>
      <c r="K2392" s="51">
        <f t="shared" si="137"/>
        <v>3679074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customHeight="1">
      <c r="A2393" s="204" t="str">
        <f>IF(B2393&lt;&gt;"",IF(AND(B2393&gt;=_TM1,B2393&lt;=_TM2,OR(TH!L2393="1111",TH!M2393="1111")),TH!D2393,""),"")</f>
        <v/>
      </c>
      <c r="B2393" s="36">
        <f t="shared" si="136"/>
        <v>2</v>
      </c>
      <c r="C2393" s="48">
        <f t="shared" si="138"/>
        <v>40965</v>
      </c>
      <c r="D2393" s="48" t="s">
        <v>1737</v>
      </c>
      <c r="E2393" s="920">
        <v>40965</v>
      </c>
      <c r="F2393" s="49" t="s">
        <v>1506</v>
      </c>
      <c r="G2393" s="49" t="s">
        <v>1495</v>
      </c>
      <c r="H2393" s="909" t="s">
        <v>1705</v>
      </c>
      <c r="I2393" s="250">
        <v>420</v>
      </c>
      <c r="J2393" s="250">
        <v>11021.339696980713</v>
      </c>
      <c r="K2393" s="51">
        <f t="shared" si="137"/>
        <v>4628963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customHeight="1">
      <c r="A2394" s="204" t="str">
        <f>IF(B2394&lt;&gt;"",IF(AND(B2394&gt;=_TM1,B2394&lt;=_TM2,OR(TH!L2394="1111",TH!M2394="1111")),TH!D2394,""),"")</f>
        <v/>
      </c>
      <c r="B2394" s="36">
        <f t="shared" si="136"/>
        <v>2</v>
      </c>
      <c r="C2394" s="48">
        <f t="shared" si="138"/>
        <v>40965</v>
      </c>
      <c r="D2394" s="48" t="s">
        <v>1737</v>
      </c>
      <c r="E2394" s="920">
        <v>40965</v>
      </c>
      <c r="F2394" s="917" t="s">
        <v>1507</v>
      </c>
      <c r="G2394" s="49" t="s">
        <v>1495</v>
      </c>
      <c r="H2394" s="909" t="s">
        <v>1705</v>
      </c>
      <c r="I2394" s="250">
        <v>8</v>
      </c>
      <c r="J2394" s="250">
        <v>14708.518268409285</v>
      </c>
      <c r="K2394" s="51">
        <f t="shared" si="137"/>
        <v>117668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customHeight="1">
      <c r="A2395" s="204" t="str">
        <f>IF(B2395&lt;&gt;"",IF(AND(B2395&gt;=_TM1,B2395&lt;=_TM2,OR(TH!L2395="1111",TH!M2395="1111")),TH!D2395,""),"")</f>
        <v/>
      </c>
      <c r="B2395" s="36">
        <f t="shared" si="136"/>
        <v>2</v>
      </c>
      <c r="C2395" s="48">
        <f t="shared" si="138"/>
        <v>40965</v>
      </c>
      <c r="D2395" s="48" t="s">
        <v>1737</v>
      </c>
      <c r="E2395" s="920">
        <v>40965</v>
      </c>
      <c r="F2395" s="734" t="s">
        <v>1508</v>
      </c>
      <c r="G2395" s="49" t="s">
        <v>1495</v>
      </c>
      <c r="H2395" s="909" t="s">
        <v>1705</v>
      </c>
      <c r="I2395" s="922">
        <v>10</v>
      </c>
      <c r="J2395" s="250">
        <v>10233.018268409285</v>
      </c>
      <c r="K2395" s="51">
        <f t="shared" si="137"/>
        <v>102330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customHeight="1">
      <c r="A2396" s="204" t="str">
        <f>IF(B2396&lt;&gt;"",IF(AND(B2396&gt;=_TM1,B2396&lt;=_TM2,OR(TH!L2396="1111",TH!M2396="1111")),TH!D2396,""),"")</f>
        <v/>
      </c>
      <c r="B2396" s="36">
        <f t="shared" si="136"/>
        <v>2</v>
      </c>
      <c r="C2396" s="48">
        <f t="shared" si="138"/>
        <v>40965</v>
      </c>
      <c r="D2396" s="48" t="s">
        <v>1737</v>
      </c>
      <c r="E2396" s="920">
        <v>40965</v>
      </c>
      <c r="F2396" s="49" t="s">
        <v>1509</v>
      </c>
      <c r="G2396" s="49" t="s">
        <v>1495</v>
      </c>
      <c r="H2396" s="909" t="s">
        <v>1705</v>
      </c>
      <c r="I2396" s="250">
        <v>17</v>
      </c>
      <c r="J2396" s="250">
        <v>12856.841797821051</v>
      </c>
      <c r="K2396" s="51">
        <f t="shared" si="137"/>
        <v>218566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customHeight="1">
      <c r="A2397" s="204" t="str">
        <f>IF(B2397&lt;&gt;"",IF(AND(B2397&gt;=_TM1,B2397&lt;=_TM2,OR(TH!L2397="1111",TH!M2397="1111")),TH!D2397,""),"")</f>
        <v/>
      </c>
      <c r="B2397" s="36">
        <f t="shared" si="136"/>
        <v>2</v>
      </c>
      <c r="C2397" s="48">
        <f t="shared" si="138"/>
        <v>40965</v>
      </c>
      <c r="D2397" s="48" t="s">
        <v>1737</v>
      </c>
      <c r="E2397" s="920">
        <v>40965</v>
      </c>
      <c r="F2397" s="49" t="s">
        <v>1510</v>
      </c>
      <c r="G2397" s="49" t="s">
        <v>1495</v>
      </c>
      <c r="H2397" s="909" t="s">
        <v>1705</v>
      </c>
      <c r="I2397" s="250">
        <v>61</v>
      </c>
      <c r="J2397" s="250">
        <v>12904.98548152404</v>
      </c>
      <c r="K2397" s="51">
        <f t="shared" si="137"/>
        <v>787204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customHeight="1">
      <c r="A2398" s="204" t="str">
        <f>IF(B2398&lt;&gt;"",IF(AND(B2398&gt;=_TM1,B2398&lt;=_TM2,OR(TH!L2398="1111",TH!M2398="1111")),TH!D2398,""),"")</f>
        <v/>
      </c>
      <c r="B2398" s="36">
        <f t="shared" si="136"/>
        <v>2</v>
      </c>
      <c r="C2398" s="48">
        <f t="shared" si="138"/>
        <v>40965</v>
      </c>
      <c r="D2398" s="48" t="s">
        <v>1737</v>
      </c>
      <c r="E2398" s="920">
        <v>40965</v>
      </c>
      <c r="F2398" s="49" t="s">
        <v>1511</v>
      </c>
      <c r="G2398" s="49" t="s">
        <v>1495</v>
      </c>
      <c r="H2398" s="909" t="s">
        <v>1705</v>
      </c>
      <c r="I2398" s="250">
        <v>22</v>
      </c>
      <c r="J2398" s="250">
        <v>6733.2455411365581</v>
      </c>
      <c r="K2398" s="51">
        <f t="shared" si="137"/>
        <v>148131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customHeight="1">
      <c r="A2399" s="204" t="str">
        <f>IF(B2399&lt;&gt;"",IF(AND(B2399&gt;=_TM1,B2399&lt;=_TM2,OR(TH!L2399="1111",TH!M2399="1111")),TH!D2399,""),"")</f>
        <v/>
      </c>
      <c r="B2399" s="36">
        <f t="shared" si="136"/>
        <v>2</v>
      </c>
      <c r="C2399" s="48">
        <f t="shared" si="138"/>
        <v>40965</v>
      </c>
      <c r="D2399" s="48" t="s">
        <v>1737</v>
      </c>
      <c r="E2399" s="920">
        <v>40965</v>
      </c>
      <c r="F2399" s="734" t="s">
        <v>1512</v>
      </c>
      <c r="G2399" s="49" t="s">
        <v>1495</v>
      </c>
      <c r="H2399" s="909" t="s">
        <v>1705</v>
      </c>
      <c r="I2399" s="250">
        <v>50</v>
      </c>
      <c r="J2399" s="250">
        <v>8081.6182684092855</v>
      </c>
      <c r="K2399" s="51">
        <f t="shared" si="137"/>
        <v>404081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customHeight="1">
      <c r="A2400" s="204" t="str">
        <f>IF(B2400&lt;&gt;"",IF(AND(B2400&gt;=_TM1,B2400&lt;=_TM2,OR(TH!L2400="1111",TH!M2400="1111")),TH!D2400,""),"")</f>
        <v/>
      </c>
      <c r="B2400" s="36">
        <f t="shared" si="136"/>
        <v>2</v>
      </c>
      <c r="C2400" s="48">
        <f t="shared" si="138"/>
        <v>40965</v>
      </c>
      <c r="D2400" s="48" t="s">
        <v>1737</v>
      </c>
      <c r="E2400" s="920">
        <v>40965</v>
      </c>
      <c r="F2400" s="49" t="s">
        <v>1513</v>
      </c>
      <c r="G2400" s="49" t="s">
        <v>1495</v>
      </c>
      <c r="H2400" s="909" t="s">
        <v>1705</v>
      </c>
      <c r="I2400" s="250">
        <v>19</v>
      </c>
      <c r="J2400" s="250">
        <v>16681.597215777711</v>
      </c>
      <c r="K2400" s="51">
        <f t="shared" si="137"/>
        <v>316950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customHeight="1">
      <c r="A2401" s="204" t="str">
        <f>IF(B2401&lt;&gt;"",IF(AND(B2401&gt;=_TM1,B2401&lt;=_TM2,OR(TH!L2401="1111",TH!M2401="1111")),TH!D2401,""),"")</f>
        <v/>
      </c>
      <c r="B2401" s="36">
        <f t="shared" si="136"/>
        <v>2</v>
      </c>
      <c r="C2401" s="48">
        <f t="shared" si="138"/>
        <v>40965</v>
      </c>
      <c r="D2401" s="48" t="s">
        <v>1737</v>
      </c>
      <c r="E2401" s="920">
        <v>40965</v>
      </c>
      <c r="F2401" s="49" t="s">
        <v>1514</v>
      </c>
      <c r="G2401" s="49" t="s">
        <v>1495</v>
      </c>
      <c r="H2401" s="909" t="s">
        <v>1705</v>
      </c>
      <c r="I2401" s="250">
        <v>3</v>
      </c>
      <c r="J2401" s="250">
        <v>11659.018268409285</v>
      </c>
      <c r="K2401" s="51">
        <f t="shared" si="137"/>
        <v>34977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customHeight="1">
      <c r="A2402" s="204" t="str">
        <f>IF(B2402&lt;&gt;"",IF(AND(B2402&gt;=_TM1,B2402&lt;=_TM2,OR(TH!L2402="1111",TH!M2402="1111")),TH!D2402,""),"")</f>
        <v/>
      </c>
      <c r="B2402" s="36">
        <f t="shared" si="136"/>
        <v>2</v>
      </c>
      <c r="C2402" s="48">
        <f t="shared" si="138"/>
        <v>40965</v>
      </c>
      <c r="D2402" s="48" t="s">
        <v>1737</v>
      </c>
      <c r="E2402" s="920">
        <v>40965</v>
      </c>
      <c r="F2402" s="49" t="s">
        <v>1498</v>
      </c>
      <c r="G2402" s="49" t="s">
        <v>1495</v>
      </c>
      <c r="H2402" s="909" t="s">
        <v>1705</v>
      </c>
      <c r="I2402" s="250">
        <v>2</v>
      </c>
      <c r="J2402" s="250">
        <v>12372.018268409285</v>
      </c>
      <c r="K2402" s="51">
        <f t="shared" si="137"/>
        <v>24744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customHeight="1">
      <c r="A2403" s="204" t="str">
        <f>IF(B2403&lt;&gt;"",IF(AND(B2403&gt;=_TM1,B2403&lt;=_TM2,OR(TH!L2403="1111",TH!M2403="1111")),TH!D2403,""),"")</f>
        <v/>
      </c>
      <c r="B2403" s="36">
        <f t="shared" si="136"/>
        <v>2</v>
      </c>
      <c r="C2403" s="48">
        <f t="shared" si="138"/>
        <v>40965</v>
      </c>
      <c r="D2403" s="48" t="s">
        <v>1737</v>
      </c>
      <c r="E2403" s="920">
        <v>40965</v>
      </c>
      <c r="F2403" s="734" t="s">
        <v>1509</v>
      </c>
      <c r="G2403" s="49" t="s">
        <v>1495</v>
      </c>
      <c r="H2403" s="909" t="s">
        <v>1705</v>
      </c>
      <c r="I2403" s="250">
        <v>2</v>
      </c>
      <c r="J2403" s="250">
        <v>19052.018268409287</v>
      </c>
      <c r="K2403" s="51">
        <f t="shared" si="137"/>
        <v>38104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customHeight="1">
      <c r="A2404" s="204" t="str">
        <f>IF(B2404&lt;&gt;"",IF(AND(B2404&gt;=_TM1,B2404&lt;=_TM2,OR(TH!L2404="1111",TH!M2404="1111")),TH!D2404,""),"")</f>
        <v/>
      </c>
      <c r="B2404" s="36">
        <f t="shared" si="136"/>
        <v>2</v>
      </c>
      <c r="C2404" s="48">
        <f t="shared" si="138"/>
        <v>40965</v>
      </c>
      <c r="D2404" s="48" t="s">
        <v>1737</v>
      </c>
      <c r="E2404" s="920">
        <v>40965</v>
      </c>
      <c r="F2404" s="734" t="s">
        <v>1515</v>
      </c>
      <c r="G2404" s="49" t="s">
        <v>1495</v>
      </c>
      <c r="H2404" s="909" t="s">
        <v>1705</v>
      </c>
      <c r="I2404" s="250">
        <v>1</v>
      </c>
      <c r="J2404" s="250">
        <v>10233.018268409285</v>
      </c>
      <c r="K2404" s="51">
        <f t="shared" si="137"/>
        <v>10233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customHeight="1">
      <c r="A2405" s="204" t="str">
        <f>IF(B2405&lt;&gt;"",IF(AND(B2405&gt;=_TM1,B2405&lt;=_TM2,OR(TH!L2405="1111",TH!M2405="1111")),TH!D2405,""),"")</f>
        <v/>
      </c>
      <c r="B2405" s="36">
        <f t="shared" si="136"/>
        <v>2</v>
      </c>
      <c r="C2405" s="48">
        <f t="shared" si="138"/>
        <v>40965</v>
      </c>
      <c r="D2405" s="48" t="s">
        <v>1737</v>
      </c>
      <c r="E2405" s="920">
        <v>40965</v>
      </c>
      <c r="F2405" s="734" t="s">
        <v>1516</v>
      </c>
      <c r="G2405" s="49" t="s">
        <v>1495</v>
      </c>
      <c r="H2405" s="909" t="s">
        <v>1705</v>
      </c>
      <c r="I2405" s="250">
        <v>4</v>
      </c>
      <c r="J2405" s="250">
        <v>17063.018268409283</v>
      </c>
      <c r="K2405" s="51">
        <f t="shared" si="137"/>
        <v>68252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customHeight="1">
      <c r="A2406" s="204" t="str">
        <f>IF(B2406&lt;&gt;"",IF(AND(B2406&gt;=_TM1,B2406&lt;=_TM2,OR(TH!L2406="1111",TH!M2406="1111")),TH!D2406,""),"")</f>
        <v/>
      </c>
      <c r="B2406" s="36">
        <f t="shared" si="136"/>
        <v>2</v>
      </c>
      <c r="C2406" s="48">
        <f t="shared" si="138"/>
        <v>40965</v>
      </c>
      <c r="D2406" s="48" t="s">
        <v>1737</v>
      </c>
      <c r="E2406" s="920">
        <v>40965</v>
      </c>
      <c r="F2406" s="734" t="s">
        <v>1517</v>
      </c>
      <c r="G2406" s="49" t="s">
        <v>1495</v>
      </c>
      <c r="H2406" s="909" t="s">
        <v>1705</v>
      </c>
      <c r="I2406" s="922">
        <v>4</v>
      </c>
      <c r="J2406" s="250">
        <v>17063.018268409283</v>
      </c>
      <c r="K2406" s="51">
        <f t="shared" si="137"/>
        <v>68252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customHeight="1">
      <c r="A2407" s="204" t="str">
        <f>IF(B2407&lt;&gt;"",IF(AND(B2407&gt;=_TM1,B2407&lt;=_TM2,OR(TH!L2407="1111",TH!M2407="1111")),TH!D2407,""),"")</f>
        <v/>
      </c>
      <c r="B2407" s="36">
        <f t="shared" si="136"/>
        <v>2</v>
      </c>
      <c r="C2407" s="48">
        <f t="shared" si="138"/>
        <v>40965</v>
      </c>
      <c r="D2407" s="48" t="s">
        <v>1737</v>
      </c>
      <c r="E2407" s="920">
        <v>40965</v>
      </c>
      <c r="F2407" s="734" t="s">
        <v>1518</v>
      </c>
      <c r="G2407" s="49" t="s">
        <v>1495</v>
      </c>
      <c r="H2407" s="909" t="s">
        <v>1705</v>
      </c>
      <c r="I2407" s="250">
        <v>10</v>
      </c>
      <c r="J2407" s="250">
        <v>17063.018268409287</v>
      </c>
      <c r="K2407" s="51">
        <f t="shared" si="137"/>
        <v>170630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customHeight="1">
      <c r="A2408" s="204" t="str">
        <f>IF(B2408&lt;&gt;"",IF(AND(B2408&gt;=_TM1,B2408&lt;=_TM2,OR(TH!L2408="1111",TH!M2408="1111")),TH!D2408,""),"")</f>
        <v/>
      </c>
      <c r="B2408" s="36">
        <f t="shared" si="136"/>
        <v>2</v>
      </c>
      <c r="C2408" s="48">
        <f t="shared" si="138"/>
        <v>40965</v>
      </c>
      <c r="D2408" s="48" t="s">
        <v>1737</v>
      </c>
      <c r="E2408" s="920">
        <v>40965</v>
      </c>
      <c r="F2408" s="734" t="s">
        <v>1519</v>
      </c>
      <c r="G2408" s="49" t="s">
        <v>1495</v>
      </c>
      <c r="H2408" s="909" t="s">
        <v>1705</v>
      </c>
      <c r="I2408" s="922">
        <v>508</v>
      </c>
      <c r="J2408" s="250">
        <v>16845.852914078576</v>
      </c>
      <c r="K2408" s="51">
        <f t="shared" si="137"/>
        <v>8557693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customHeight="1">
      <c r="A2409" s="204" t="str">
        <f>IF(B2409&lt;&gt;"",IF(AND(B2409&gt;=_TM1,B2409&lt;=_TM2,OR(TH!L2409="1111",TH!M2409="1111")),TH!D2409,""),"")</f>
        <v/>
      </c>
      <c r="B2409" s="36">
        <f t="shared" ref="B2409:B2472" si="139">IF(C2409&lt;&gt;"",MONTH(C2409),"")</f>
        <v>2</v>
      </c>
      <c r="C2409" s="48">
        <f t="shared" si="138"/>
        <v>40965</v>
      </c>
      <c r="D2409" s="48" t="s">
        <v>1737</v>
      </c>
      <c r="E2409" s="920">
        <v>40965</v>
      </c>
      <c r="F2409" s="734" t="s">
        <v>934</v>
      </c>
      <c r="G2409" s="49" t="s">
        <v>1495</v>
      </c>
      <c r="H2409" s="909" t="s">
        <v>1705</v>
      </c>
      <c r="I2409" s="922">
        <v>520</v>
      </c>
      <c r="J2409" s="250">
        <v>5331.556729947747</v>
      </c>
      <c r="K2409" s="51">
        <f t="shared" si="137"/>
        <v>2772409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customHeight="1">
      <c r="A2410" s="204" t="str">
        <f>IF(B2410&lt;&gt;"",IF(AND(B2410&gt;=_TM1,B2410&lt;=_TM2,OR(TH!L2410="1111",TH!M2410="1111")),TH!D2410,""),"")</f>
        <v/>
      </c>
      <c r="B2410" s="36">
        <f t="shared" si="139"/>
        <v>2</v>
      </c>
      <c r="C2410" s="48">
        <f t="shared" si="138"/>
        <v>40965</v>
      </c>
      <c r="D2410" s="48" t="s">
        <v>1737</v>
      </c>
      <c r="E2410" s="920">
        <v>40965</v>
      </c>
      <c r="F2410" s="49" t="s">
        <v>1520</v>
      </c>
      <c r="G2410" s="49" t="s">
        <v>1495</v>
      </c>
      <c r="H2410" s="909" t="s">
        <v>1705</v>
      </c>
      <c r="I2410" s="250">
        <v>2</v>
      </c>
      <c r="J2410" s="250">
        <v>17063.018268409283</v>
      </c>
      <c r="K2410" s="51">
        <f t="shared" si="137"/>
        <v>34126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customHeight="1">
      <c r="A2411" s="204" t="str">
        <f>IF(B2411&lt;&gt;"",IF(AND(B2411&gt;=_TM1,B2411&lt;=_TM2,OR(TH!L2411="1111",TH!M2411="1111")),TH!D2411,""),"")</f>
        <v/>
      </c>
      <c r="B2411" s="36">
        <f t="shared" si="139"/>
        <v>2</v>
      </c>
      <c r="C2411" s="48">
        <f t="shared" si="138"/>
        <v>40968</v>
      </c>
      <c r="D2411" s="48" t="s">
        <v>1737</v>
      </c>
      <c r="E2411" s="920">
        <v>40968</v>
      </c>
      <c r="F2411" s="921" t="s">
        <v>1531</v>
      </c>
      <c r="G2411" s="49" t="s">
        <v>1521</v>
      </c>
      <c r="H2411" s="909" t="s">
        <v>1705</v>
      </c>
      <c r="I2411" s="250">
        <v>9</v>
      </c>
      <c r="J2411" s="250">
        <v>17063.018268409287</v>
      </c>
      <c r="K2411" s="51">
        <f t="shared" si="137"/>
        <v>153567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customHeight="1">
      <c r="A2412" s="204" t="str">
        <f>IF(B2412&lt;&gt;"",IF(AND(B2412&gt;=_TM1,B2412&lt;=_TM2,OR(TH!L2412="1111",TH!M2412="1111")),TH!D2412,""),"")</f>
        <v/>
      </c>
      <c r="B2412" s="36">
        <f t="shared" si="139"/>
        <v>2</v>
      </c>
      <c r="C2412" s="48">
        <f t="shared" si="138"/>
        <v>40968</v>
      </c>
      <c r="D2412" s="48" t="s">
        <v>1737</v>
      </c>
      <c r="E2412" s="920">
        <v>40968</v>
      </c>
      <c r="F2412" s="734" t="s">
        <v>1530</v>
      </c>
      <c r="G2412" s="49" t="s">
        <v>1521</v>
      </c>
      <c r="H2412" s="909" t="s">
        <v>1705</v>
      </c>
      <c r="I2412" s="250">
        <v>2</v>
      </c>
      <c r="J2412" s="250">
        <v>5955.5182684092852</v>
      </c>
      <c r="K2412" s="51">
        <f t="shared" si="137"/>
        <v>11911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customHeight="1">
      <c r="A2413" s="204" t="str">
        <f>IF(B2413&lt;&gt;"",IF(AND(B2413&gt;=_TM1,B2413&lt;=_TM2,OR(TH!L2413="1111",TH!M2413="1111")),TH!D2413,""),"")</f>
        <v/>
      </c>
      <c r="B2413" s="36">
        <f t="shared" si="139"/>
        <v>2</v>
      </c>
      <c r="C2413" s="48">
        <f t="shared" si="138"/>
        <v>40968</v>
      </c>
      <c r="D2413" s="48" t="s">
        <v>1737</v>
      </c>
      <c r="E2413" s="920">
        <v>40968</v>
      </c>
      <c r="F2413" s="49" t="s">
        <v>1497</v>
      </c>
      <c r="G2413" s="49" t="s">
        <v>1521</v>
      </c>
      <c r="H2413" s="909" t="s">
        <v>1705</v>
      </c>
      <c r="I2413" s="250">
        <v>2</v>
      </c>
      <c r="J2413" s="250">
        <v>5955.5182684092852</v>
      </c>
      <c r="K2413" s="51">
        <f t="shared" si="137"/>
        <v>11911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customHeight="1">
      <c r="A2414" s="204" t="str">
        <f>IF(B2414&lt;&gt;"",IF(AND(B2414&gt;=_TM1,B2414&lt;=_TM2,OR(TH!L2414="1111",TH!M2414="1111")),TH!D2414,""),"")</f>
        <v/>
      </c>
      <c r="B2414" s="36">
        <f t="shared" si="139"/>
        <v>2</v>
      </c>
      <c r="C2414" s="48">
        <f t="shared" si="138"/>
        <v>40968</v>
      </c>
      <c r="D2414" s="48" t="s">
        <v>1737</v>
      </c>
      <c r="E2414" s="920">
        <v>40968</v>
      </c>
      <c r="F2414" s="734" t="s">
        <v>1528</v>
      </c>
      <c r="G2414" s="49" t="s">
        <v>1521</v>
      </c>
      <c r="H2414" s="909" t="s">
        <v>1705</v>
      </c>
      <c r="I2414" s="250">
        <v>3</v>
      </c>
      <c r="J2414" s="250">
        <v>10233.018268409285</v>
      </c>
      <c r="K2414" s="51">
        <f t="shared" si="137"/>
        <v>30699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ht="15.75" customHeight="1">
      <c r="A2415" s="204" t="str">
        <f>IF(B2415&lt;&gt;"",IF(AND(B2415&gt;=_TM1,B2415&lt;=_TM2,OR(TH!L2415="1111",TH!M2415="1111")),TH!D2415,""),"")</f>
        <v/>
      </c>
      <c r="B2415" s="36">
        <f t="shared" si="139"/>
        <v>2</v>
      </c>
      <c r="C2415" s="48">
        <f t="shared" si="138"/>
        <v>40968</v>
      </c>
      <c r="D2415" s="48" t="s">
        <v>1737</v>
      </c>
      <c r="E2415" s="920">
        <v>40968</v>
      </c>
      <c r="F2415" s="734" t="s">
        <v>1511</v>
      </c>
      <c r="G2415" s="49" t="s">
        <v>1521</v>
      </c>
      <c r="H2415" s="909" t="s">
        <v>1705</v>
      </c>
      <c r="I2415" s="250">
        <v>2</v>
      </c>
      <c r="J2415" s="250">
        <v>5955.5182684092852</v>
      </c>
      <c r="K2415" s="51">
        <f t="shared" si="137"/>
        <v>11911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ht="15.75" customHeight="1">
      <c r="A2416" s="204" t="str">
        <f>IF(B2416&lt;&gt;"",IF(AND(B2416&gt;=_TM1,B2416&lt;=_TM2,OR(TH!L2416="1111",TH!M2416="1111")),TH!D2416,""),"")</f>
        <v/>
      </c>
      <c r="B2416" s="36">
        <f t="shared" si="139"/>
        <v>2</v>
      </c>
      <c r="C2416" s="48">
        <f t="shared" si="138"/>
        <v>40968</v>
      </c>
      <c r="D2416" s="48" t="s">
        <v>1737</v>
      </c>
      <c r="E2416" s="920">
        <v>40968</v>
      </c>
      <c r="F2416" s="734" t="s">
        <v>1527</v>
      </c>
      <c r="G2416" s="49" t="s">
        <v>1521</v>
      </c>
      <c r="H2416" s="909" t="s">
        <v>1705</v>
      </c>
      <c r="I2416" s="250">
        <v>2</v>
      </c>
      <c r="J2416" s="250">
        <v>10233.018268409285</v>
      </c>
      <c r="K2416" s="51">
        <f t="shared" si="137"/>
        <v>20466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ht="15.75" customHeight="1">
      <c r="A2417" s="204" t="str">
        <f>IF(B2417&lt;&gt;"",IF(AND(B2417&gt;=_TM1,B2417&lt;=_TM2,OR(TH!L2417="1111",TH!M2417="1111")),TH!D2417,""),"")</f>
        <v/>
      </c>
      <c r="B2417" s="36">
        <f t="shared" si="139"/>
        <v>2</v>
      </c>
      <c r="C2417" s="48">
        <f t="shared" si="138"/>
        <v>40968</v>
      </c>
      <c r="D2417" s="48" t="s">
        <v>1737</v>
      </c>
      <c r="E2417" s="920">
        <v>40968</v>
      </c>
      <c r="F2417" s="49" t="s">
        <v>1529</v>
      </c>
      <c r="G2417" s="49" t="s">
        <v>1521</v>
      </c>
      <c r="H2417" s="909" t="s">
        <v>1705</v>
      </c>
      <c r="I2417" s="250">
        <v>2</v>
      </c>
      <c r="J2417" s="250">
        <v>10233.018268409285</v>
      </c>
      <c r="K2417" s="51">
        <f t="shared" si="137"/>
        <v>20466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ht="15.75" customHeight="1">
      <c r="A2418" s="204" t="str">
        <f>IF(B2418&lt;&gt;"",IF(AND(B2418&gt;=_TM1,B2418&lt;=_TM2,OR(TH!L2418="1111",TH!M2418="1111")),TH!D2418,""),"")</f>
        <v/>
      </c>
      <c r="B2418" s="36">
        <f t="shared" si="139"/>
        <v>2</v>
      </c>
      <c r="C2418" s="48">
        <f t="shared" si="138"/>
        <v>40968</v>
      </c>
      <c r="D2418" s="48" t="s">
        <v>1737</v>
      </c>
      <c r="E2418" s="920">
        <v>40968</v>
      </c>
      <c r="F2418" s="49" t="s">
        <v>1512</v>
      </c>
      <c r="G2418" s="49" t="s">
        <v>1521</v>
      </c>
      <c r="H2418" s="909" t="s">
        <v>1705</v>
      </c>
      <c r="I2418" s="250">
        <v>66</v>
      </c>
      <c r="J2418" s="250">
        <v>7553.3516017426182</v>
      </c>
      <c r="K2418" s="51">
        <f t="shared" si="137"/>
        <v>498521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ht="15.75" customHeight="1">
      <c r="A2419" s="204" t="str">
        <f>IF(B2419&lt;&gt;"",IF(AND(B2419&gt;=_TM1,B2419&lt;=_TM2,OR(TH!L2419="1111",TH!M2419="1111")),TH!D2419,""),"")</f>
        <v/>
      </c>
      <c r="B2419" s="36">
        <f t="shared" si="139"/>
        <v>2</v>
      </c>
      <c r="C2419" s="48">
        <f t="shared" si="138"/>
        <v>40968</v>
      </c>
      <c r="D2419" s="48" t="s">
        <v>1737</v>
      </c>
      <c r="E2419" s="920">
        <v>40968</v>
      </c>
      <c r="F2419" s="49" t="s">
        <v>1514</v>
      </c>
      <c r="G2419" s="49" t="s">
        <v>1521</v>
      </c>
      <c r="H2419" s="909" t="s">
        <v>1705</v>
      </c>
      <c r="I2419" s="250">
        <v>1</v>
      </c>
      <c r="J2419" s="250">
        <v>10233.018268409285</v>
      </c>
      <c r="K2419" s="51">
        <f t="shared" si="137"/>
        <v>10233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ht="15.75" customHeight="1">
      <c r="A2420" s="204" t="str">
        <f>IF(B2420&lt;&gt;"",IF(AND(B2420&gt;=_TM1,B2420&lt;=_TM2,OR(TH!L2420="1111",TH!M2420="1111")),TH!D2420,""),"")</f>
        <v/>
      </c>
      <c r="B2420" s="36">
        <f t="shared" si="139"/>
        <v>2</v>
      </c>
      <c r="C2420" s="48">
        <f t="shared" si="138"/>
        <v>40968</v>
      </c>
      <c r="D2420" s="48" t="s">
        <v>1737</v>
      </c>
      <c r="E2420" s="920">
        <v>40968</v>
      </c>
      <c r="F2420" s="49" t="s">
        <v>1504</v>
      </c>
      <c r="G2420" s="49" t="s">
        <v>1521</v>
      </c>
      <c r="H2420" s="909" t="s">
        <v>1705</v>
      </c>
      <c r="I2420" s="250">
        <v>68</v>
      </c>
      <c r="J2420" s="250">
        <v>7921.1065037034023</v>
      </c>
      <c r="K2420" s="51">
        <f t="shared" si="137"/>
        <v>538635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ht="15.75" customHeight="1">
      <c r="A2421" s="204" t="str">
        <f>IF(B2421&lt;&gt;"",IF(AND(B2421&gt;=_TM1,B2421&lt;=_TM2,OR(TH!L2421="1111",TH!M2421="1111")),TH!D2421,""),"")</f>
        <v/>
      </c>
      <c r="B2421" s="36">
        <f t="shared" si="139"/>
        <v>2</v>
      </c>
      <c r="C2421" s="48">
        <f t="shared" si="138"/>
        <v>40968</v>
      </c>
      <c r="D2421" s="48" t="s">
        <v>1737</v>
      </c>
      <c r="E2421" s="920">
        <v>40968</v>
      </c>
      <c r="F2421" s="49" t="s">
        <v>1505</v>
      </c>
      <c r="G2421" s="49" t="s">
        <v>1521</v>
      </c>
      <c r="H2421" s="909" t="s">
        <v>1705</v>
      </c>
      <c r="I2421" s="250">
        <v>136</v>
      </c>
      <c r="J2421" s="250">
        <v>9591.143268409287</v>
      </c>
      <c r="K2421" s="51">
        <f t="shared" si="137"/>
        <v>1304395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ht="15.75" customHeight="1">
      <c r="A2422" s="204" t="str">
        <f>IF(B2422&lt;&gt;"",IF(AND(B2422&gt;=_TM1,B2422&lt;=_TM2,OR(TH!L2422="1111",TH!M2422="1111")),TH!D2422,""),"")</f>
        <v/>
      </c>
      <c r="B2422" s="36">
        <f t="shared" si="139"/>
        <v>2</v>
      </c>
      <c r="C2422" s="48">
        <f t="shared" si="138"/>
        <v>40968</v>
      </c>
      <c r="D2422" s="48" t="s">
        <v>1737</v>
      </c>
      <c r="E2422" s="920">
        <v>40968</v>
      </c>
      <c r="F2422" s="49" t="s">
        <v>1525</v>
      </c>
      <c r="G2422" s="49" t="s">
        <v>1521</v>
      </c>
      <c r="H2422" s="909" t="s">
        <v>1705</v>
      </c>
      <c r="I2422" s="250">
        <v>52</v>
      </c>
      <c r="J2422" s="250">
        <v>9203.7874991785156</v>
      </c>
      <c r="K2422" s="51">
        <f t="shared" si="137"/>
        <v>478597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ht="15.75" customHeight="1">
      <c r="A2423" s="204" t="str">
        <f>IF(B2423&lt;&gt;"",IF(AND(B2423&gt;=_TM1,B2423&lt;=_TM2,OR(TH!L2423="1111",TH!M2423="1111")),TH!D2423,""),"")</f>
        <v/>
      </c>
      <c r="B2423" s="36">
        <f t="shared" si="139"/>
        <v>2</v>
      </c>
      <c r="C2423" s="48">
        <f t="shared" si="138"/>
        <v>40968</v>
      </c>
      <c r="D2423" s="48" t="s">
        <v>1737</v>
      </c>
      <c r="E2423" s="920">
        <v>40968</v>
      </c>
      <c r="F2423" s="49" t="s">
        <v>1506</v>
      </c>
      <c r="G2423" s="49" t="s">
        <v>1521</v>
      </c>
      <c r="H2423" s="909" t="s">
        <v>1705</v>
      </c>
      <c r="I2423" s="250">
        <v>532</v>
      </c>
      <c r="J2423" s="250">
        <v>12638.544584198758</v>
      </c>
      <c r="K2423" s="51">
        <f t="shared" si="137"/>
        <v>6723706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ht="15.75" customHeight="1">
      <c r="A2424" s="204" t="str">
        <f>IF(B2424&lt;&gt;"",IF(AND(B2424&gt;=_TM1,B2424&lt;=_TM2,OR(TH!L2424="1111",TH!M2424="1111")),TH!D2424,""),"")</f>
        <v/>
      </c>
      <c r="B2424" s="36">
        <f t="shared" si="139"/>
        <v>2</v>
      </c>
      <c r="C2424" s="48">
        <f t="shared" si="138"/>
        <v>40968</v>
      </c>
      <c r="D2424" s="48" t="s">
        <v>1737</v>
      </c>
      <c r="E2424" s="920">
        <v>40968</v>
      </c>
      <c r="F2424" s="49" t="s">
        <v>1496</v>
      </c>
      <c r="G2424" s="49" t="s">
        <v>1521</v>
      </c>
      <c r="H2424" s="909" t="s">
        <v>1705</v>
      </c>
      <c r="I2424" s="250">
        <v>451</v>
      </c>
      <c r="J2424" s="250">
        <v>13948.794321624362</v>
      </c>
      <c r="K2424" s="51">
        <f t="shared" si="137"/>
        <v>6290906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ht="15.75" customHeight="1">
      <c r="A2425" s="204" t="str">
        <f>IF(B2425&lt;&gt;"",IF(AND(B2425&gt;=_TM1,B2425&lt;=_TM2,OR(TH!L2425="1111",TH!M2425="1111")),TH!D2425,""),"")</f>
        <v/>
      </c>
      <c r="B2425" s="36">
        <f t="shared" si="139"/>
        <v>2</v>
      </c>
      <c r="C2425" s="48">
        <f t="shared" si="138"/>
        <v>40968</v>
      </c>
      <c r="D2425" s="48" t="s">
        <v>1737</v>
      </c>
      <c r="E2425" s="920">
        <v>40968</v>
      </c>
      <c r="F2425" s="734" t="s">
        <v>1510</v>
      </c>
      <c r="G2425" s="49" t="s">
        <v>1521</v>
      </c>
      <c r="H2425" s="909" t="s">
        <v>1705</v>
      </c>
      <c r="I2425" s="250">
        <v>4</v>
      </c>
      <c r="J2425" s="250">
        <v>14708.518268409285</v>
      </c>
      <c r="K2425" s="51">
        <f t="shared" si="137"/>
        <v>58834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ht="15.75" customHeight="1">
      <c r="A2426" s="204" t="str">
        <f>IF(B2426&lt;&gt;"",IF(AND(B2426&gt;=_TM1,B2426&lt;=_TM2,OR(TH!L2426="1111",TH!M2426="1111")),TH!D2426,""),"")</f>
        <v/>
      </c>
      <c r="B2426" s="36">
        <f t="shared" si="139"/>
        <v>2</v>
      </c>
      <c r="C2426" s="48">
        <f t="shared" si="138"/>
        <v>40968</v>
      </c>
      <c r="D2426" s="48" t="s">
        <v>1737</v>
      </c>
      <c r="E2426" s="920">
        <v>40968</v>
      </c>
      <c r="F2426" s="49" t="s">
        <v>1526</v>
      </c>
      <c r="G2426" s="49" t="s">
        <v>1521</v>
      </c>
      <c r="H2426" s="909" t="s">
        <v>1705</v>
      </c>
      <c r="I2426" s="250">
        <v>346</v>
      </c>
      <c r="J2426" s="250">
        <v>13079.633875345704</v>
      </c>
      <c r="K2426" s="51">
        <f t="shared" si="137"/>
        <v>4525553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ht="15.75" customHeight="1">
      <c r="A2427" s="204" t="str">
        <f>IF(B2427&lt;&gt;"",IF(AND(B2427&gt;=_TM1,B2427&lt;=_TM2,OR(TH!L2427="1111",TH!M2427="1111")),TH!D2427,""),"")</f>
        <v/>
      </c>
      <c r="B2427" s="36">
        <f t="shared" si="139"/>
        <v>2</v>
      </c>
      <c r="C2427" s="48">
        <f t="shared" si="138"/>
        <v>40968</v>
      </c>
      <c r="D2427" s="48" t="s">
        <v>1737</v>
      </c>
      <c r="E2427" s="920">
        <v>40968</v>
      </c>
      <c r="F2427" s="734" t="s">
        <v>1522</v>
      </c>
      <c r="G2427" s="49" t="s">
        <v>1521</v>
      </c>
      <c r="H2427" s="909" t="s">
        <v>1705</v>
      </c>
      <c r="I2427" s="250">
        <v>196</v>
      </c>
      <c r="J2427" s="250">
        <v>16553.018268409287</v>
      </c>
      <c r="K2427" s="51">
        <f t="shared" si="137"/>
        <v>3244392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ht="15.75" customHeight="1">
      <c r="A2428" s="204" t="str">
        <f>IF(B2428&lt;&gt;"",IF(AND(B2428&gt;=_TM1,B2428&lt;=_TM2,OR(TH!L2428="1111",TH!M2428="1111")),TH!D2428,""),"")</f>
        <v/>
      </c>
      <c r="B2428" s="36">
        <f t="shared" si="139"/>
        <v>2</v>
      </c>
      <c r="C2428" s="48">
        <f t="shared" si="138"/>
        <v>40968</v>
      </c>
      <c r="D2428" s="48" t="s">
        <v>1737</v>
      </c>
      <c r="E2428" s="920">
        <v>40968</v>
      </c>
      <c r="F2428" s="734" t="s">
        <v>1513</v>
      </c>
      <c r="G2428" s="49" t="s">
        <v>1521</v>
      </c>
      <c r="H2428" s="909" t="s">
        <v>1705</v>
      </c>
      <c r="I2428" s="250">
        <v>50</v>
      </c>
      <c r="J2428" s="250">
        <v>15374.918268409283</v>
      </c>
      <c r="K2428" s="51">
        <f t="shared" si="137"/>
        <v>768746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customHeight="1">
      <c r="A2429" s="204" t="str">
        <f>IF(B2429&lt;&gt;"",IF(AND(B2429&gt;=_TM1,B2429&lt;=_TM2,OR(TH!L2429="1111",TH!M2429="1111")),TH!D2429,""),"")</f>
        <v/>
      </c>
      <c r="B2429" s="36">
        <f t="shared" si="139"/>
        <v>2</v>
      </c>
      <c r="C2429" s="48">
        <f t="shared" si="138"/>
        <v>40968</v>
      </c>
      <c r="D2429" s="48" t="s">
        <v>1737</v>
      </c>
      <c r="E2429" s="920">
        <v>40968</v>
      </c>
      <c r="F2429" s="734" t="s">
        <v>1516</v>
      </c>
      <c r="G2429" s="49" t="s">
        <v>1521</v>
      </c>
      <c r="H2429" s="909" t="s">
        <v>1705</v>
      </c>
      <c r="I2429" s="250">
        <v>30</v>
      </c>
      <c r="J2429" s="250">
        <v>17954.018268409287</v>
      </c>
      <c r="K2429" s="51">
        <f t="shared" si="137"/>
        <v>538621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customHeight="1">
      <c r="A2430" s="204" t="str">
        <f>IF(B2430&lt;&gt;"",IF(AND(B2430&gt;=_TM1,B2430&lt;=_TM2,OR(TH!L2430="1111",TH!M2430="1111")),TH!D2430,""),"")</f>
        <v/>
      </c>
      <c r="B2430" s="36">
        <f t="shared" si="139"/>
        <v>2</v>
      </c>
      <c r="C2430" s="48">
        <f t="shared" si="138"/>
        <v>40968</v>
      </c>
      <c r="D2430" s="48" t="s">
        <v>1737</v>
      </c>
      <c r="E2430" s="920">
        <v>40968</v>
      </c>
      <c r="F2430" s="734" t="s">
        <v>1523</v>
      </c>
      <c r="G2430" s="49" t="s">
        <v>1521</v>
      </c>
      <c r="H2430" s="909" t="s">
        <v>1705</v>
      </c>
      <c r="I2430" s="250">
        <v>63</v>
      </c>
      <c r="J2430" s="250">
        <v>14101.510331901349</v>
      </c>
      <c r="K2430" s="51">
        <f t="shared" si="137"/>
        <v>888395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customHeight="1">
      <c r="A2431" s="204" t="str">
        <f>IF(B2431&lt;&gt;"",IF(AND(B2431&gt;=_TM1,B2431&lt;=_TM2,OR(TH!L2431="1111",TH!M2431="1111")),TH!D2431,""),"")</f>
        <v/>
      </c>
      <c r="B2431" s="36">
        <f t="shared" si="139"/>
        <v>2</v>
      </c>
      <c r="C2431" s="48">
        <f t="shared" si="138"/>
        <v>40968</v>
      </c>
      <c r="D2431" s="48" t="s">
        <v>1737</v>
      </c>
      <c r="E2431" s="920">
        <v>40968</v>
      </c>
      <c r="F2431" s="734" t="s">
        <v>1509</v>
      </c>
      <c r="G2431" s="49" t="s">
        <v>1521</v>
      </c>
      <c r="H2431" s="909" t="s">
        <v>1705</v>
      </c>
      <c r="I2431" s="922">
        <v>165</v>
      </c>
      <c r="J2431" s="250">
        <v>10445.775844166859</v>
      </c>
      <c r="K2431" s="51">
        <f t="shared" si="137"/>
        <v>1723553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customHeight="1">
      <c r="A2432" s="204" t="str">
        <f>IF(B2432&lt;&gt;"",IF(AND(B2432&gt;=_TM1,B2432&lt;=_TM2,OR(TH!L2432="1111",TH!M2432="1111")),TH!D2432,""),"")</f>
        <v/>
      </c>
      <c r="B2432" s="36">
        <f t="shared" si="139"/>
        <v>2</v>
      </c>
      <c r="C2432" s="48">
        <f t="shared" si="138"/>
        <v>40968</v>
      </c>
      <c r="D2432" s="48" t="s">
        <v>1737</v>
      </c>
      <c r="E2432" s="920">
        <v>40968</v>
      </c>
      <c r="F2432" s="734" t="s">
        <v>1507</v>
      </c>
      <c r="G2432" s="49" t="s">
        <v>1521</v>
      </c>
      <c r="H2432" s="909" t="s">
        <v>1705</v>
      </c>
      <c r="I2432" s="922">
        <v>1</v>
      </c>
      <c r="J2432" s="250">
        <v>19052.018268409287</v>
      </c>
      <c r="K2432" s="51">
        <f t="shared" si="137"/>
        <v>19052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customHeight="1">
      <c r="A2433" s="204" t="str">
        <f>IF(B2433&lt;&gt;"",IF(AND(B2433&gt;=_TM1,B2433&lt;=_TM2,OR(TH!L2433="1111",TH!M2433="1111")),TH!D2433,""),"")</f>
        <v/>
      </c>
      <c r="B2433" s="36">
        <f t="shared" si="139"/>
        <v>2</v>
      </c>
      <c r="C2433" s="48">
        <f t="shared" si="138"/>
        <v>40968</v>
      </c>
      <c r="D2433" s="48" t="s">
        <v>1737</v>
      </c>
      <c r="E2433" s="920">
        <v>40968</v>
      </c>
      <c r="F2433" s="734" t="s">
        <v>1524</v>
      </c>
      <c r="G2433" s="49" t="s">
        <v>1521</v>
      </c>
      <c r="H2433" s="909" t="s">
        <v>1705</v>
      </c>
      <c r="I2433" s="922">
        <v>50</v>
      </c>
      <c r="J2433" s="250">
        <v>19121.018268409283</v>
      </c>
      <c r="K2433" s="51">
        <f t="shared" si="137"/>
        <v>956051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customHeight="1">
      <c r="A2434" s="204" t="str">
        <f>IF(B2434&lt;&gt;"",IF(AND(B2434&gt;=_TM1,B2434&lt;=_TM2,OR(TH!L2434="1111",TH!M2434="1111")),TH!D2434,""),"")</f>
        <v/>
      </c>
      <c r="B2434" s="36">
        <f t="shared" si="139"/>
        <v>3</v>
      </c>
      <c r="C2434" s="48">
        <f t="shared" si="138"/>
        <v>40971</v>
      </c>
      <c r="D2434" s="48" t="s">
        <v>1737</v>
      </c>
      <c r="E2434" s="920">
        <v>40971</v>
      </c>
      <c r="F2434" s="734" t="s">
        <v>1489</v>
      </c>
      <c r="G2434" s="49" t="s">
        <v>940</v>
      </c>
      <c r="H2434" s="909" t="s">
        <v>1705</v>
      </c>
      <c r="I2434" s="922">
        <v>490</v>
      </c>
      <c r="J2434" s="250">
        <v>12443.732554123571</v>
      </c>
      <c r="K2434" s="51">
        <f t="shared" si="137"/>
        <v>6097429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customHeight="1">
      <c r="A2435" s="204" t="str">
        <f>IF(B2435&lt;&gt;"",IF(AND(B2435&gt;=_TM1,B2435&lt;=_TM2,OR(TH!L2435="1111",TH!M2435="1111")),TH!D2435,""),"")</f>
        <v/>
      </c>
      <c r="B2435" s="36">
        <f t="shared" si="139"/>
        <v>3</v>
      </c>
      <c r="C2435" s="48">
        <f t="shared" si="138"/>
        <v>40971</v>
      </c>
      <c r="D2435" s="48" t="s">
        <v>1737</v>
      </c>
      <c r="E2435" s="920">
        <v>40971</v>
      </c>
      <c r="F2435" s="734" t="s">
        <v>1478</v>
      </c>
      <c r="G2435" s="49" t="s">
        <v>941</v>
      </c>
      <c r="H2435" s="909" t="s">
        <v>1705</v>
      </c>
      <c r="I2435" s="922">
        <v>45</v>
      </c>
      <c r="J2435" s="250">
        <v>41862.240490631506</v>
      </c>
      <c r="K2435" s="51">
        <f t="shared" si="137"/>
        <v>1883801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customHeight="1">
      <c r="A2436" s="204" t="str">
        <f>IF(B2436&lt;&gt;"",IF(AND(B2436&gt;=_TM1,B2436&lt;=_TM2,OR(TH!L2436="1111",TH!M2436="1111")),TH!D2436,""),"")</f>
        <v/>
      </c>
      <c r="B2436" s="36">
        <f t="shared" si="139"/>
        <v>3</v>
      </c>
      <c r="C2436" s="48">
        <f t="shared" si="138"/>
        <v>40971</v>
      </c>
      <c r="D2436" s="48" t="s">
        <v>1737</v>
      </c>
      <c r="E2436" s="920">
        <v>40971</v>
      </c>
      <c r="F2436" s="734" t="s">
        <v>1479</v>
      </c>
      <c r="G2436" s="49" t="s">
        <v>941</v>
      </c>
      <c r="H2436" s="909" t="s">
        <v>1705</v>
      </c>
      <c r="I2436" s="922">
        <v>420</v>
      </c>
      <c r="J2436" s="250">
        <v>23494.446839837859</v>
      </c>
      <c r="K2436" s="51">
        <f t="shared" ref="K2436:K2499" si="140">ROUND(I2436*J2436,0)</f>
        <v>9867668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customHeight="1">
      <c r="A2437" s="204" t="str">
        <f>IF(B2437&lt;&gt;"",IF(AND(B2437&gt;=_TM1,B2437&lt;=_TM2,OR(TH!L2437="1111",TH!M2437="1111")),TH!D2437,""),"")</f>
        <v/>
      </c>
      <c r="B2437" s="36">
        <f t="shared" si="139"/>
        <v>3</v>
      </c>
      <c r="C2437" s="48">
        <f t="shared" si="138"/>
        <v>40971</v>
      </c>
      <c r="D2437" s="48" t="s">
        <v>1737</v>
      </c>
      <c r="E2437" s="920">
        <v>40971</v>
      </c>
      <c r="F2437" s="734" t="s">
        <v>1480</v>
      </c>
      <c r="G2437" s="49" t="s">
        <v>941</v>
      </c>
      <c r="H2437" s="909" t="s">
        <v>1705</v>
      </c>
      <c r="I2437" s="250">
        <v>15</v>
      </c>
      <c r="J2437" s="250">
        <v>45315.351601742623</v>
      </c>
      <c r="K2437" s="51">
        <f t="shared" si="140"/>
        <v>679730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customHeight="1">
      <c r="A2438" s="204" t="str">
        <f>IF(B2438&lt;&gt;"",IF(AND(B2438&gt;=_TM1,B2438&lt;=_TM2,OR(TH!L2438="1111",TH!M2438="1111")),TH!D2438,""),"")</f>
        <v/>
      </c>
      <c r="B2438" s="36">
        <f t="shared" si="139"/>
        <v>3</v>
      </c>
      <c r="C2438" s="48">
        <f t="shared" si="138"/>
        <v>40971</v>
      </c>
      <c r="D2438" s="48" t="s">
        <v>1737</v>
      </c>
      <c r="E2438" s="920">
        <v>40971</v>
      </c>
      <c r="F2438" s="734" t="s">
        <v>1481</v>
      </c>
      <c r="G2438" s="49" t="s">
        <v>941</v>
      </c>
      <c r="H2438" s="909" t="s">
        <v>1705</v>
      </c>
      <c r="I2438" s="922">
        <v>45</v>
      </c>
      <c r="J2438" s="250">
        <v>36623.573823964842</v>
      </c>
      <c r="K2438" s="51">
        <f t="shared" si="140"/>
        <v>1648061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customHeight="1">
      <c r="A2439" s="204" t="str">
        <f>IF(B2439&lt;&gt;"",IF(AND(B2439&gt;=_TM1,B2439&lt;=_TM2,OR(TH!L2439="1111",TH!M2439="1111")),TH!D2439,""),"")</f>
        <v/>
      </c>
      <c r="B2439" s="36">
        <f t="shared" si="139"/>
        <v>3</v>
      </c>
      <c r="C2439" s="48">
        <f t="shared" si="138"/>
        <v>40971</v>
      </c>
      <c r="D2439" s="48" t="s">
        <v>1737</v>
      </c>
      <c r="E2439" s="920">
        <v>40971</v>
      </c>
      <c r="F2439" s="734" t="s">
        <v>1482</v>
      </c>
      <c r="G2439" s="49" t="s">
        <v>941</v>
      </c>
      <c r="H2439" s="909" t="s">
        <v>1705</v>
      </c>
      <c r="I2439" s="922">
        <v>100</v>
      </c>
      <c r="J2439" s="250">
        <v>25884.018268409287</v>
      </c>
      <c r="K2439" s="51">
        <f t="shared" si="140"/>
        <v>2588402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customHeight="1">
      <c r="A2440" s="204" t="str">
        <f>IF(B2440&lt;&gt;"",IF(AND(B2440&gt;=_TM1,B2440&lt;=_TM2,OR(TH!L2440="1111",TH!M2440="1111")),TH!D2440,""),"")</f>
        <v/>
      </c>
      <c r="B2440" s="36">
        <f t="shared" si="139"/>
        <v>3</v>
      </c>
      <c r="C2440" s="48">
        <f t="shared" si="138"/>
        <v>40971</v>
      </c>
      <c r="D2440" s="48" t="s">
        <v>1737</v>
      </c>
      <c r="E2440" s="920">
        <v>40971</v>
      </c>
      <c r="F2440" s="734" t="s">
        <v>1483</v>
      </c>
      <c r="G2440" s="49" t="s">
        <v>941</v>
      </c>
      <c r="H2440" s="909" t="s">
        <v>1705</v>
      </c>
      <c r="I2440" s="922">
        <v>47</v>
      </c>
      <c r="J2440" s="250">
        <v>16742.91188543056</v>
      </c>
      <c r="K2440" s="51">
        <f t="shared" si="140"/>
        <v>786917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customHeight="1">
      <c r="A2441" s="204" t="str">
        <f>IF(B2441&lt;&gt;"",IF(AND(B2441&gt;=_TM1,B2441&lt;=_TM2,OR(TH!L2441="1111",TH!M2441="1111")),TH!D2441,""),"")</f>
        <v/>
      </c>
      <c r="B2441" s="36">
        <f t="shared" si="139"/>
        <v>3</v>
      </c>
      <c r="C2441" s="48">
        <f t="shared" si="138"/>
        <v>40971</v>
      </c>
      <c r="D2441" s="48" t="s">
        <v>1737</v>
      </c>
      <c r="E2441" s="920">
        <v>40971</v>
      </c>
      <c r="F2441" s="734" t="s">
        <v>1111</v>
      </c>
      <c r="G2441" s="49" t="s">
        <v>941</v>
      </c>
      <c r="H2441" s="909" t="s">
        <v>1705</v>
      </c>
      <c r="I2441" s="922">
        <v>30</v>
      </c>
      <c r="J2441" s="250">
        <v>1963.1849350759517</v>
      </c>
      <c r="K2441" s="51">
        <f t="shared" si="140"/>
        <v>58896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customHeight="1">
      <c r="A2442" s="204" t="str">
        <f>IF(B2442&lt;&gt;"",IF(AND(B2442&gt;=_TM1,B2442&lt;=_TM2,OR(TH!L2442="1111",TH!M2442="1111")),TH!D2442,""),"")</f>
        <v/>
      </c>
      <c r="B2442" s="36">
        <f t="shared" si="139"/>
        <v>3</v>
      </c>
      <c r="C2442" s="48">
        <f t="shared" si="138"/>
        <v>40971</v>
      </c>
      <c r="D2442" s="48" t="s">
        <v>1737</v>
      </c>
      <c r="E2442" s="920">
        <v>40971</v>
      </c>
      <c r="F2442" s="734" t="s">
        <v>1484</v>
      </c>
      <c r="G2442" s="49" t="s">
        <v>941</v>
      </c>
      <c r="H2442" s="909" t="s">
        <v>1705</v>
      </c>
      <c r="I2442" s="922">
        <v>20</v>
      </c>
      <c r="J2442" s="250">
        <v>34556.01826840928</v>
      </c>
      <c r="K2442" s="51">
        <f t="shared" si="140"/>
        <v>691120</v>
      </c>
      <c r="L2442" s="52" t="s">
        <v>177</v>
      </c>
      <c r="M2442" s="52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customHeight="1">
      <c r="A2443" s="204" t="str">
        <f>IF(B2443&lt;&gt;"",IF(AND(B2443&gt;=_TM1,B2443&lt;=_TM2,OR(TH!L2443="1111",TH!M2443="1111")),TH!D2443,""),"")</f>
        <v/>
      </c>
      <c r="B2443" s="36">
        <f t="shared" si="139"/>
        <v>3</v>
      </c>
      <c r="C2443" s="48">
        <f t="shared" si="138"/>
        <v>40971</v>
      </c>
      <c r="D2443" s="48" t="s">
        <v>1737</v>
      </c>
      <c r="E2443" s="920">
        <v>40971</v>
      </c>
      <c r="F2443" s="734" t="s">
        <v>1485</v>
      </c>
      <c r="G2443" s="49" t="s">
        <v>941</v>
      </c>
      <c r="H2443" s="909" t="s">
        <v>1705</v>
      </c>
      <c r="I2443" s="922">
        <v>257</v>
      </c>
      <c r="J2443" s="250">
        <v>2565.0532878645377</v>
      </c>
      <c r="K2443" s="51">
        <f t="shared" si="140"/>
        <v>659219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customHeight="1">
      <c r="A2444" s="204" t="str">
        <f>IF(B2444&lt;&gt;"",IF(AND(B2444&gt;=_TM1,B2444&lt;=_TM2,OR(TH!L2444="1111",TH!M2444="1111")),TH!D2444,""),"")</f>
        <v/>
      </c>
      <c r="B2444" s="36">
        <f t="shared" si="139"/>
        <v>3</v>
      </c>
      <c r="C2444" s="48">
        <f t="shared" si="138"/>
        <v>40974</v>
      </c>
      <c r="D2444" s="48" t="s">
        <v>1737</v>
      </c>
      <c r="E2444" s="920">
        <v>40974</v>
      </c>
      <c r="F2444" s="734" t="s">
        <v>1490</v>
      </c>
      <c r="G2444" s="49" t="s">
        <v>942</v>
      </c>
      <c r="H2444" s="909" t="s">
        <v>1705</v>
      </c>
      <c r="I2444" s="922">
        <v>230</v>
      </c>
      <c r="J2444" s="250">
        <v>9876.8226162353731</v>
      </c>
      <c r="K2444" s="51">
        <f t="shared" si="140"/>
        <v>2271669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customHeight="1">
      <c r="A2445" s="204" t="str">
        <f>IF(B2445&lt;&gt;"",IF(AND(B2445&gt;=_TM1,B2445&lt;=_TM2,OR(TH!L2445="1111",TH!M2445="1111")),TH!D2445,""),"")</f>
        <v/>
      </c>
      <c r="B2445" s="36">
        <f t="shared" si="139"/>
        <v>3</v>
      </c>
      <c r="C2445" s="48">
        <f t="shared" si="138"/>
        <v>40974</v>
      </c>
      <c r="D2445" s="48" t="s">
        <v>1737</v>
      </c>
      <c r="E2445" s="920">
        <v>40974</v>
      </c>
      <c r="F2445" s="49" t="s">
        <v>1155</v>
      </c>
      <c r="G2445" s="49" t="s">
        <v>943</v>
      </c>
      <c r="H2445" s="909" t="s">
        <v>1705</v>
      </c>
      <c r="I2445" s="250">
        <v>100</v>
      </c>
      <c r="J2445" s="250">
        <v>17022.018268409283</v>
      </c>
      <c r="K2445" s="51">
        <f t="shared" si="140"/>
        <v>1702202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customHeight="1">
      <c r="A2446" s="204" t="str">
        <f>IF(B2446&lt;&gt;"",IF(AND(B2446&gt;=_TM1,B2446&lt;=_TM2,OR(TH!L2446="1111",TH!M2446="1111")),TH!D2446,""),"")</f>
        <v/>
      </c>
      <c r="B2446" s="36">
        <f t="shared" si="139"/>
        <v>3</v>
      </c>
      <c r="C2446" s="48">
        <f t="shared" ref="C2446:C2509" si="141">E2446</f>
        <v>40977</v>
      </c>
      <c r="D2446" s="48" t="s">
        <v>1737</v>
      </c>
      <c r="E2446" s="920">
        <v>40977</v>
      </c>
      <c r="F2446" s="734" t="s">
        <v>1491</v>
      </c>
      <c r="G2446" s="49" t="s">
        <v>944</v>
      </c>
      <c r="H2446" s="909" t="s">
        <v>1705</v>
      </c>
      <c r="I2446" s="250">
        <v>497</v>
      </c>
      <c r="J2446" s="250">
        <v>12400.151065189968</v>
      </c>
      <c r="K2446" s="51">
        <f t="shared" si="140"/>
        <v>6162875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customHeight="1">
      <c r="A2447" s="204" t="str">
        <f>IF(B2447&lt;&gt;"",IF(AND(B2447&gt;=_TM1,B2447&lt;=_TM2,OR(TH!L2447="1111",TH!M2447="1111")),TH!D2447,""),"")</f>
        <v/>
      </c>
      <c r="B2447" s="36">
        <f t="shared" si="139"/>
        <v>3</v>
      </c>
      <c r="C2447" s="48">
        <f t="shared" si="141"/>
        <v>40978</v>
      </c>
      <c r="D2447" s="48" t="s">
        <v>1737</v>
      </c>
      <c r="E2447" s="920">
        <v>40978</v>
      </c>
      <c r="F2447" s="734" t="s">
        <v>1492</v>
      </c>
      <c r="G2447" s="49" t="s">
        <v>912</v>
      </c>
      <c r="H2447" s="909" t="s">
        <v>1705</v>
      </c>
      <c r="I2447" s="250">
        <v>1277</v>
      </c>
      <c r="J2447" s="250">
        <v>1753.5452848540772</v>
      </c>
      <c r="K2447" s="51">
        <f t="shared" si="140"/>
        <v>2239277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customHeight="1">
      <c r="A2448" s="204" t="str">
        <f>IF(B2448&lt;&gt;"",IF(AND(B2448&gt;=_TM1,B2448&lt;=_TM2,OR(TH!L2448="1111",TH!M2448="1111")),TH!D2448,""),"")</f>
        <v/>
      </c>
      <c r="B2448" s="36">
        <f t="shared" si="139"/>
        <v>3</v>
      </c>
      <c r="C2448" s="48">
        <f t="shared" si="141"/>
        <v>40978</v>
      </c>
      <c r="D2448" s="48" t="s">
        <v>1737</v>
      </c>
      <c r="E2448" s="920">
        <v>40978</v>
      </c>
      <c r="F2448" s="49" t="s">
        <v>1493</v>
      </c>
      <c r="G2448" s="49" t="s">
        <v>912</v>
      </c>
      <c r="H2448" s="909" t="s">
        <v>1705</v>
      </c>
      <c r="I2448" s="250">
        <v>1305</v>
      </c>
      <c r="J2448" s="250">
        <v>6226.6037090223117</v>
      </c>
      <c r="K2448" s="51">
        <f t="shared" si="140"/>
        <v>8125718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customHeight="1">
      <c r="A2449" s="204" t="str">
        <f>IF(B2449&lt;&gt;"",IF(AND(B2449&gt;=_TM1,B2449&lt;=_TM2,OR(TH!L2449="1111",TH!M2449="1111")),TH!D2449,""),"")</f>
        <v/>
      </c>
      <c r="B2449" s="36">
        <f t="shared" si="139"/>
        <v>3</v>
      </c>
      <c r="C2449" s="48">
        <f t="shared" si="141"/>
        <v>40978</v>
      </c>
      <c r="D2449" s="48" t="s">
        <v>1737</v>
      </c>
      <c r="E2449" s="920">
        <v>40978</v>
      </c>
      <c r="F2449" s="49" t="s">
        <v>1494</v>
      </c>
      <c r="G2449" s="49" t="s">
        <v>912</v>
      </c>
      <c r="H2449" s="909" t="s">
        <v>1705</v>
      </c>
      <c r="I2449" s="250">
        <v>301</v>
      </c>
      <c r="J2449" s="250">
        <v>6819.2541488079569</v>
      </c>
      <c r="K2449" s="51">
        <f t="shared" si="140"/>
        <v>2052595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customHeight="1">
      <c r="A2450" s="204" t="str">
        <f>IF(B2450&lt;&gt;"",IF(AND(B2450&gt;=_TM1,B2450&lt;=_TM2,OR(TH!L2450="1111",TH!M2450="1111")),TH!D2450,""),"")</f>
        <v/>
      </c>
      <c r="B2450" s="36">
        <f t="shared" si="139"/>
        <v>3</v>
      </c>
      <c r="C2450" s="48">
        <f t="shared" si="141"/>
        <v>40978</v>
      </c>
      <c r="D2450" s="48" t="s">
        <v>1737</v>
      </c>
      <c r="E2450" s="920">
        <v>40978</v>
      </c>
      <c r="F2450" s="49" t="s">
        <v>1131</v>
      </c>
      <c r="G2450" s="49" t="s">
        <v>912</v>
      </c>
      <c r="H2450" s="909" t="s">
        <v>1705</v>
      </c>
      <c r="I2450" s="250">
        <v>220</v>
      </c>
      <c r="J2450" s="250">
        <v>6480.2909956820131</v>
      </c>
      <c r="K2450" s="51">
        <f t="shared" si="140"/>
        <v>1425664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customHeight="1">
      <c r="A2451" s="204" t="str">
        <f>IF(B2451&lt;&gt;"",IF(AND(B2451&gt;=_TM1,B2451&lt;=_TM2,OR(TH!L2451="1111",TH!M2451="1111")),TH!D2451,""),"")</f>
        <v/>
      </c>
      <c r="B2451" s="36">
        <f t="shared" si="139"/>
        <v>3</v>
      </c>
      <c r="C2451" s="48">
        <f t="shared" si="141"/>
        <v>40980</v>
      </c>
      <c r="D2451" s="48" t="s">
        <v>1737</v>
      </c>
      <c r="E2451" s="920">
        <v>40980</v>
      </c>
      <c r="F2451" s="49" t="s">
        <v>1143</v>
      </c>
      <c r="G2451" s="49" t="s">
        <v>946</v>
      </c>
      <c r="H2451" s="909" t="s">
        <v>1705</v>
      </c>
      <c r="I2451" s="250">
        <v>991</v>
      </c>
      <c r="J2451" s="250">
        <v>10523.265493434512</v>
      </c>
      <c r="K2451" s="51">
        <f t="shared" si="140"/>
        <v>10428556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customHeight="1">
      <c r="A2452" s="204" t="str">
        <f>IF(B2452&lt;&gt;"",IF(AND(B2452&gt;=_TM1,B2452&lt;=_TM2,OR(TH!L2452="1111",TH!M2452="1111")),TH!D2452,""),"")</f>
        <v/>
      </c>
      <c r="B2452" s="36">
        <f t="shared" si="139"/>
        <v>3</v>
      </c>
      <c r="C2452" s="48">
        <f t="shared" si="141"/>
        <v>40980</v>
      </c>
      <c r="D2452" s="48" t="s">
        <v>1737</v>
      </c>
      <c r="E2452" s="920">
        <v>40980</v>
      </c>
      <c r="F2452" s="49" t="s">
        <v>1033</v>
      </c>
      <c r="G2452" s="49" t="s">
        <v>947</v>
      </c>
      <c r="H2452" s="909" t="s">
        <v>1705</v>
      </c>
      <c r="I2452" s="250">
        <v>701</v>
      </c>
      <c r="J2452" s="250">
        <v>6805.1937320326815</v>
      </c>
      <c r="K2452" s="51">
        <f t="shared" si="140"/>
        <v>4770441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customHeight="1">
      <c r="A2453" s="204" t="str">
        <f>IF(B2453&lt;&gt;"",IF(AND(B2453&gt;=_TM1,B2453&lt;=_TM2,OR(TH!L2453="1111",TH!M2453="1111")),TH!D2453,""),"")</f>
        <v/>
      </c>
      <c r="B2453" s="36">
        <f t="shared" si="139"/>
        <v>3</v>
      </c>
      <c r="C2453" s="48">
        <f t="shared" si="141"/>
        <v>40980</v>
      </c>
      <c r="D2453" s="48" t="s">
        <v>1737</v>
      </c>
      <c r="E2453" s="920">
        <v>40980</v>
      </c>
      <c r="F2453" s="49" t="s">
        <v>1169</v>
      </c>
      <c r="G2453" s="49" t="s">
        <v>947</v>
      </c>
      <c r="H2453" s="909" t="s">
        <v>1705</v>
      </c>
      <c r="I2453" s="250">
        <v>299</v>
      </c>
      <c r="J2453" s="250">
        <v>7474.3393386433982</v>
      </c>
      <c r="K2453" s="51">
        <f t="shared" si="140"/>
        <v>2234827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customHeight="1">
      <c r="A2454" s="204" t="str">
        <f>IF(B2454&lt;&gt;"",IF(AND(B2454&gt;=_TM1,B2454&lt;=_TM2,OR(TH!L2454="1111",TH!M2454="1111")),TH!D2454,""),"")</f>
        <v/>
      </c>
      <c r="B2454" s="36">
        <f t="shared" si="139"/>
        <v>3</v>
      </c>
      <c r="C2454" s="48">
        <f t="shared" si="141"/>
        <v>40980</v>
      </c>
      <c r="D2454" s="48" t="s">
        <v>1737</v>
      </c>
      <c r="E2454" s="920">
        <v>40980</v>
      </c>
      <c r="F2454" s="49" t="s">
        <v>1095</v>
      </c>
      <c r="G2454" s="49" t="s">
        <v>947</v>
      </c>
      <c r="H2454" s="909" t="s">
        <v>1705</v>
      </c>
      <c r="I2454" s="250">
        <v>56</v>
      </c>
      <c r="J2454" s="250">
        <v>7395.5182684092852</v>
      </c>
      <c r="K2454" s="51">
        <f t="shared" si="140"/>
        <v>414149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customHeight="1">
      <c r="A2455" s="204" t="str">
        <f>IF(B2455&lt;&gt;"",IF(AND(B2455&gt;=_TM1,B2455&lt;=_TM2,OR(TH!L2455="1111",TH!M2455="1111")),TH!D2455,""),"")</f>
        <v/>
      </c>
      <c r="B2455" s="36">
        <f t="shared" si="139"/>
        <v>3</v>
      </c>
      <c r="C2455" s="48">
        <f t="shared" si="141"/>
        <v>40980</v>
      </c>
      <c r="D2455" s="48" t="s">
        <v>1737</v>
      </c>
      <c r="E2455" s="920">
        <v>40980</v>
      </c>
      <c r="F2455" s="734" t="s">
        <v>1168</v>
      </c>
      <c r="G2455" s="49" t="s">
        <v>947</v>
      </c>
      <c r="H2455" s="909" t="s">
        <v>1705</v>
      </c>
      <c r="I2455" s="250">
        <v>68</v>
      </c>
      <c r="J2455" s="250">
        <v>9077.1359154681104</v>
      </c>
      <c r="K2455" s="51">
        <f t="shared" si="140"/>
        <v>617245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customHeight="1">
      <c r="A2456" s="204" t="str">
        <f>IF(B2456&lt;&gt;"",IF(AND(B2456&gt;=_TM1,B2456&lt;=_TM2,OR(TH!L2456="1111",TH!M2456="1111")),TH!D2456,""),"")</f>
        <v/>
      </c>
      <c r="B2456" s="36">
        <f t="shared" si="139"/>
        <v>3</v>
      </c>
      <c r="C2456" s="48">
        <f t="shared" si="141"/>
        <v>40980</v>
      </c>
      <c r="D2456" s="48" t="s">
        <v>1737</v>
      </c>
      <c r="E2456" s="920">
        <v>40980</v>
      </c>
      <c r="F2456" s="49" t="s">
        <v>1069</v>
      </c>
      <c r="G2456" s="49" t="s">
        <v>947</v>
      </c>
      <c r="H2456" s="909" t="s">
        <v>1705</v>
      </c>
      <c r="I2456" s="250">
        <v>108</v>
      </c>
      <c r="J2456" s="250">
        <v>7187.6941943352113</v>
      </c>
      <c r="K2456" s="51">
        <f t="shared" si="140"/>
        <v>776271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customHeight="1">
      <c r="A2457" s="204" t="str">
        <f>IF(B2457&lt;&gt;"",IF(AND(B2457&gt;=_TM1,B2457&lt;=_TM2,OR(TH!L2457="1111",TH!M2457="1111")),TH!D2457,""),"")</f>
        <v/>
      </c>
      <c r="B2457" s="36">
        <f t="shared" si="139"/>
        <v>3</v>
      </c>
      <c r="C2457" s="48">
        <f t="shared" si="141"/>
        <v>40988</v>
      </c>
      <c r="D2457" s="48" t="s">
        <v>1737</v>
      </c>
      <c r="E2457" s="920">
        <v>40988</v>
      </c>
      <c r="F2457" s="49" t="s">
        <v>1238</v>
      </c>
      <c r="G2457" s="49" t="s">
        <v>949</v>
      </c>
      <c r="H2457" s="909" t="s">
        <v>1705</v>
      </c>
      <c r="I2457" s="250">
        <v>2985</v>
      </c>
      <c r="J2457" s="250">
        <v>5071.653109280307</v>
      </c>
      <c r="K2457" s="51">
        <f t="shared" si="140"/>
        <v>15138885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customHeight="1">
      <c r="A2458" s="204" t="str">
        <f>IF(B2458&lt;&gt;"",IF(AND(B2458&gt;=_TM1,B2458&lt;=_TM2,OR(TH!L2458="1111",TH!M2458="1111")),TH!D2458,""),"")</f>
        <v/>
      </c>
      <c r="B2458" s="36">
        <f t="shared" si="139"/>
        <v>3</v>
      </c>
      <c r="C2458" s="48">
        <f t="shared" si="141"/>
        <v>40988</v>
      </c>
      <c r="D2458" s="48" t="s">
        <v>1737</v>
      </c>
      <c r="E2458" s="920">
        <v>40988</v>
      </c>
      <c r="F2458" s="734" t="s">
        <v>1166</v>
      </c>
      <c r="G2458" s="49" t="s">
        <v>949</v>
      </c>
      <c r="H2458" s="909" t="s">
        <v>1705</v>
      </c>
      <c r="I2458" s="250">
        <v>622</v>
      </c>
      <c r="J2458" s="250">
        <v>3582.7610336825965</v>
      </c>
      <c r="K2458" s="51">
        <f t="shared" si="140"/>
        <v>2228477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customHeight="1">
      <c r="A2459" s="204" t="str">
        <f>IF(B2459&lt;&gt;"",IF(AND(B2459&gt;=_TM1,B2459&lt;=_TM2,OR(TH!L2459="1111",TH!M2459="1111")),TH!D2459,""),"")</f>
        <v/>
      </c>
      <c r="B2459" s="36">
        <f t="shared" si="139"/>
        <v>3</v>
      </c>
      <c r="C2459" s="48">
        <f t="shared" si="141"/>
        <v>40989</v>
      </c>
      <c r="D2459" s="48" t="s">
        <v>1737</v>
      </c>
      <c r="E2459" s="920">
        <v>40989</v>
      </c>
      <c r="F2459" s="734" t="s">
        <v>1237</v>
      </c>
      <c r="G2459" s="49" t="s">
        <v>950</v>
      </c>
      <c r="H2459" s="909" t="s">
        <v>1705</v>
      </c>
      <c r="I2459" s="922">
        <v>1030</v>
      </c>
      <c r="J2459" s="250">
        <v>11223.027977147149</v>
      </c>
      <c r="K2459" s="51">
        <f t="shared" si="140"/>
        <v>11559719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customHeight="1">
      <c r="A2460" s="204" t="str">
        <f>IF(B2460&lt;&gt;"",IF(AND(B2460&gt;=_TM1,B2460&lt;=_TM2,OR(TH!L2460="1111",TH!M2460="1111")),TH!D2460,""),"")</f>
        <v/>
      </c>
      <c r="B2460" s="36">
        <f t="shared" si="139"/>
        <v>3</v>
      </c>
      <c r="C2460" s="48">
        <f t="shared" si="141"/>
        <v>40989</v>
      </c>
      <c r="D2460" s="48" t="s">
        <v>1737</v>
      </c>
      <c r="E2460" s="920">
        <v>40989</v>
      </c>
      <c r="F2460" s="734" t="s">
        <v>952</v>
      </c>
      <c r="G2460" s="49" t="s">
        <v>953</v>
      </c>
      <c r="H2460" s="909" t="s">
        <v>1705</v>
      </c>
      <c r="I2460" s="922">
        <v>210</v>
      </c>
      <c r="J2460" s="250">
        <v>21245.018268409287</v>
      </c>
      <c r="K2460" s="51">
        <f t="shared" si="140"/>
        <v>4461454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customHeight="1">
      <c r="A2461" s="204" t="str">
        <f>IF(B2461&lt;&gt;"",IF(AND(B2461&gt;=_TM1,B2461&lt;=_TM2,OR(TH!L2461="1111",TH!M2461="1111")),TH!D2461,""),"")</f>
        <v/>
      </c>
      <c r="B2461" s="36">
        <f t="shared" si="139"/>
        <v>3</v>
      </c>
      <c r="C2461" s="48">
        <f t="shared" si="141"/>
        <v>40989</v>
      </c>
      <c r="D2461" s="48" t="s">
        <v>1737</v>
      </c>
      <c r="E2461" s="920">
        <v>40989</v>
      </c>
      <c r="F2461" s="734" t="s">
        <v>1239</v>
      </c>
      <c r="G2461" s="49" t="s">
        <v>953</v>
      </c>
      <c r="H2461" s="909" t="s">
        <v>1705</v>
      </c>
      <c r="I2461" s="922">
        <v>210</v>
      </c>
      <c r="J2461" s="250">
        <v>3974.3992207902375</v>
      </c>
      <c r="K2461" s="51">
        <f t="shared" si="140"/>
        <v>834624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customHeight="1">
      <c r="A2462" s="204" t="str">
        <f>IF(B2462&lt;&gt;"",IF(AND(B2462&gt;=_TM1,B2462&lt;=_TM2,OR(TH!L2462="1111",TH!M2462="1111")),TH!D2462,""),"")</f>
        <v/>
      </c>
      <c r="B2462" s="36">
        <f t="shared" si="139"/>
        <v>3</v>
      </c>
      <c r="C2462" s="48">
        <f t="shared" si="141"/>
        <v>40989</v>
      </c>
      <c r="D2462" s="48" t="s">
        <v>1737</v>
      </c>
      <c r="E2462" s="920">
        <v>40989</v>
      </c>
      <c r="F2462" s="734" t="s">
        <v>1206</v>
      </c>
      <c r="G2462" s="49" t="s">
        <v>955</v>
      </c>
      <c r="H2462" s="909" t="s">
        <v>1705</v>
      </c>
      <c r="I2462" s="250">
        <v>308</v>
      </c>
      <c r="J2462" s="250">
        <v>15476.070216461232</v>
      </c>
      <c r="K2462" s="51">
        <f t="shared" si="140"/>
        <v>4766630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customHeight="1">
      <c r="A2463" s="204" t="str">
        <f>IF(B2463&lt;&gt;"",IF(AND(B2463&gt;=_TM1,B2463&lt;=_TM2,OR(TH!L2463="1111",TH!M2463="1111")),TH!D2463,""),"")</f>
        <v/>
      </c>
      <c r="B2463" s="36">
        <f t="shared" si="139"/>
        <v>3</v>
      </c>
      <c r="C2463" s="48">
        <f t="shared" si="141"/>
        <v>40995</v>
      </c>
      <c r="D2463" s="48" t="s">
        <v>1737</v>
      </c>
      <c r="E2463" s="920">
        <v>40995</v>
      </c>
      <c r="F2463" s="49" t="s">
        <v>1229</v>
      </c>
      <c r="G2463" s="49" t="s">
        <v>956</v>
      </c>
      <c r="H2463" s="909" t="s">
        <v>1705</v>
      </c>
      <c r="I2463" s="250">
        <v>2261</v>
      </c>
      <c r="J2463" s="250">
        <v>4601.9775784490903</v>
      </c>
      <c r="K2463" s="51">
        <f t="shared" si="140"/>
        <v>10405071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customHeight="1">
      <c r="A2464" s="204" t="str">
        <f>IF(B2464&lt;&gt;"",IF(AND(B2464&gt;=_TM1,B2464&lt;=_TM2,OR(TH!L2464="1111",TH!M2464="1111")),TH!D2464,""),"")</f>
        <v/>
      </c>
      <c r="B2464" s="36">
        <f t="shared" si="139"/>
        <v>3</v>
      </c>
      <c r="C2464" s="48">
        <f t="shared" si="141"/>
        <v>40995</v>
      </c>
      <c r="D2464" s="48" t="s">
        <v>1737</v>
      </c>
      <c r="E2464" s="920">
        <v>40995</v>
      </c>
      <c r="F2464" s="49" t="s">
        <v>1227</v>
      </c>
      <c r="G2464" s="49" t="s">
        <v>956</v>
      </c>
      <c r="H2464" s="909" t="s">
        <v>1705</v>
      </c>
      <c r="I2464" s="250">
        <v>103</v>
      </c>
      <c r="J2464" s="250">
        <v>8881.5619577296748</v>
      </c>
      <c r="K2464" s="51">
        <f t="shared" si="140"/>
        <v>914801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s="849" customFormat="1" ht="15.75" customHeight="1">
      <c r="A2465" s="204" t="str">
        <f>IF(B2465&lt;&gt;"",IF(AND(B2465&gt;=_TM1,B2465&lt;=_TM2,OR(TH!L2465="1111",TH!M2465="1111")),TH!D2465,""),"")</f>
        <v/>
      </c>
      <c r="B2465" s="732">
        <f t="shared" si="139"/>
        <v>3</v>
      </c>
      <c r="C2465" s="48">
        <f t="shared" si="141"/>
        <v>40995</v>
      </c>
      <c r="D2465" s="48" t="s">
        <v>1737</v>
      </c>
      <c r="E2465" s="920">
        <v>40995</v>
      </c>
      <c r="F2465" s="49" t="s">
        <v>1228</v>
      </c>
      <c r="G2465" s="49" t="s">
        <v>956</v>
      </c>
      <c r="H2465" s="909" t="s">
        <v>1705</v>
      </c>
      <c r="I2465" s="250">
        <v>400</v>
      </c>
      <c r="J2465" s="250">
        <v>2249.0182684092852</v>
      </c>
      <c r="K2465" s="51">
        <f t="shared" si="140"/>
        <v>899607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s="849" customFormat="1" ht="15.75" customHeight="1">
      <c r="A2466" s="204" t="str">
        <f>IF(B2466&lt;&gt;"",IF(AND(B2466&gt;=_TM1,B2466&lt;=_TM2,OR(TH!L2466="1111",TH!M2466="1111")),TH!D2466,""),"")</f>
        <v/>
      </c>
      <c r="B2466" s="732">
        <f t="shared" si="139"/>
        <v>3</v>
      </c>
      <c r="C2466" s="48">
        <f t="shared" si="141"/>
        <v>40996</v>
      </c>
      <c r="D2466" s="48" t="s">
        <v>1737</v>
      </c>
      <c r="E2466" s="920">
        <v>40996</v>
      </c>
      <c r="F2466" s="921" t="s">
        <v>1121</v>
      </c>
      <c r="G2466" s="49" t="s">
        <v>957</v>
      </c>
      <c r="H2466" s="909" t="s">
        <v>1705</v>
      </c>
      <c r="I2466" s="250">
        <v>1000</v>
      </c>
      <c r="J2466" s="250">
        <v>7385.6182684092855</v>
      </c>
      <c r="K2466" s="51">
        <f t="shared" si="140"/>
        <v>7385618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s="849" customFormat="1" ht="15.75" customHeight="1">
      <c r="A2467" s="204" t="str">
        <f>IF(B2467&lt;&gt;"",IF(AND(B2467&gt;=_TM1,B2467&lt;=_TM2,OR(TH!L2467="1111",TH!M2467="1111")),TH!D2467,""),"")</f>
        <v/>
      </c>
      <c r="B2467" s="732">
        <f t="shared" si="139"/>
        <v>3</v>
      </c>
      <c r="C2467" s="48">
        <f t="shared" si="141"/>
        <v>40998</v>
      </c>
      <c r="D2467" s="48" t="s">
        <v>1737</v>
      </c>
      <c r="E2467" s="920">
        <v>40998</v>
      </c>
      <c r="F2467" s="49" t="s">
        <v>1225</v>
      </c>
      <c r="G2467" s="49" t="s">
        <v>959</v>
      </c>
      <c r="H2467" s="909" t="s">
        <v>1705</v>
      </c>
      <c r="I2467" s="250">
        <v>64</v>
      </c>
      <c r="J2467" s="250">
        <v>13907.393268409285</v>
      </c>
      <c r="K2467" s="51">
        <f t="shared" si="140"/>
        <v>890073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s="849" customFormat="1" ht="15.75" customHeight="1">
      <c r="A2468" s="204" t="str">
        <f>IF(B2468&lt;&gt;"",IF(AND(B2468&gt;=_TM1,B2468&lt;=_TM2,OR(TH!L2468="1111",TH!M2468="1111")),TH!D2468,""),"")</f>
        <v/>
      </c>
      <c r="B2468" s="732">
        <f t="shared" si="139"/>
        <v>3</v>
      </c>
      <c r="C2468" s="48">
        <f t="shared" si="141"/>
        <v>40998</v>
      </c>
      <c r="D2468" s="48" t="s">
        <v>1737</v>
      </c>
      <c r="E2468" s="920">
        <v>40998</v>
      </c>
      <c r="F2468" s="49" t="s">
        <v>1224</v>
      </c>
      <c r="G2468" s="49" t="s">
        <v>961</v>
      </c>
      <c r="H2468" s="909" t="s">
        <v>1705</v>
      </c>
      <c r="I2468" s="250">
        <v>253</v>
      </c>
      <c r="J2468" s="250">
        <v>4623.789019397429</v>
      </c>
      <c r="K2468" s="51">
        <f t="shared" si="140"/>
        <v>1169819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s="849" customFormat="1" ht="15.75" customHeight="1">
      <c r="A2469" s="204" t="str">
        <f>IF(B2469&lt;&gt;"",IF(AND(B2469&gt;=_TM1,B2469&lt;=_TM2,OR(TH!L2469="1111",TH!M2469="1111")),TH!D2469,""),"")</f>
        <v/>
      </c>
      <c r="B2469" s="732">
        <f t="shared" si="139"/>
        <v>3</v>
      </c>
      <c r="C2469" s="48">
        <f t="shared" si="141"/>
        <v>40998</v>
      </c>
      <c r="D2469" s="48" t="s">
        <v>1737</v>
      </c>
      <c r="E2469" s="920">
        <v>40998</v>
      </c>
      <c r="F2469" s="49" t="s">
        <v>1223</v>
      </c>
      <c r="G2469" s="49" t="s">
        <v>961</v>
      </c>
      <c r="H2469" s="909" t="s">
        <v>1705</v>
      </c>
      <c r="I2469" s="250">
        <v>204</v>
      </c>
      <c r="J2469" s="250">
        <v>7167.7731703700683</v>
      </c>
      <c r="K2469" s="51">
        <f t="shared" si="140"/>
        <v>1462226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s="849" customFormat="1" ht="15.75" customHeight="1">
      <c r="A2470" s="204" t="str">
        <f>IF(B2470&lt;&gt;"",IF(AND(B2470&gt;=_TM1,B2470&lt;=_TM2,OR(TH!L2470="1111",TH!M2470="1111")),TH!D2470,""),"")</f>
        <v/>
      </c>
      <c r="B2470" s="732">
        <f t="shared" si="139"/>
        <v>3</v>
      </c>
      <c r="C2470" s="48">
        <f t="shared" si="141"/>
        <v>40998</v>
      </c>
      <c r="D2470" s="48" t="s">
        <v>1737</v>
      </c>
      <c r="E2470" s="920">
        <v>40998</v>
      </c>
      <c r="F2470" s="49" t="s">
        <v>1222</v>
      </c>
      <c r="G2470" s="49" t="s">
        <v>961</v>
      </c>
      <c r="H2470" s="909" t="s">
        <v>1705</v>
      </c>
      <c r="I2470" s="250">
        <v>2100</v>
      </c>
      <c r="J2470" s="250">
        <v>1765.698268409285</v>
      </c>
      <c r="K2470" s="51">
        <f t="shared" si="140"/>
        <v>3707966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s="849" customFormat="1" ht="15.75" customHeight="1">
      <c r="A2471" s="204" t="str">
        <f>IF(B2471&lt;&gt;"",IF(AND(B2471&gt;=_TM1,B2471&lt;=_TM2,OR(TH!L2471="1111",TH!M2471="1111")),TH!D2471,""),"")</f>
        <v/>
      </c>
      <c r="B2471" s="732">
        <f t="shared" si="139"/>
        <v>3</v>
      </c>
      <c r="C2471" s="48">
        <f t="shared" si="141"/>
        <v>40998</v>
      </c>
      <c r="D2471" s="48" t="s">
        <v>1737</v>
      </c>
      <c r="E2471" s="920">
        <v>40998</v>
      </c>
      <c r="F2471" s="49" t="s">
        <v>1542</v>
      </c>
      <c r="G2471" s="49" t="s">
        <v>962</v>
      </c>
      <c r="H2471" s="909" t="s">
        <v>1705</v>
      </c>
      <c r="I2471" s="250">
        <v>350</v>
      </c>
      <c r="J2471" s="250">
        <v>11142.018268409285</v>
      </c>
      <c r="K2471" s="51">
        <f t="shared" si="140"/>
        <v>3899706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s="849" customFormat="1" ht="15.75" customHeight="1">
      <c r="A2472" s="204" t="str">
        <f>IF(B2472&lt;&gt;"",IF(AND(B2472&gt;=_TM1,B2472&lt;=_TM2,OR(TH!L2472="1111",TH!M2472="1111")),TH!D2472,""),"")</f>
        <v/>
      </c>
      <c r="B2472" s="732">
        <f t="shared" si="139"/>
        <v>3</v>
      </c>
      <c r="C2472" s="48">
        <f t="shared" si="141"/>
        <v>40998</v>
      </c>
      <c r="D2472" s="48" t="s">
        <v>1737</v>
      </c>
      <c r="E2472" s="920">
        <v>40998</v>
      </c>
      <c r="F2472" s="49" t="s">
        <v>1543</v>
      </c>
      <c r="G2472" s="49" t="s">
        <v>962</v>
      </c>
      <c r="H2472" s="909" t="s">
        <v>1705</v>
      </c>
      <c r="I2472" s="250">
        <v>200</v>
      </c>
      <c r="J2472" s="250">
        <v>10172.018268409285</v>
      </c>
      <c r="K2472" s="51">
        <f t="shared" si="140"/>
        <v>2034404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s="849" customFormat="1" ht="15.75" customHeight="1">
      <c r="A2473" s="204" t="str">
        <f>IF(B2473&lt;&gt;"",IF(AND(B2473&gt;=_TM1,B2473&lt;=_TM2,OR(TH!L2473="1111",TH!M2473="1111")),TH!D2473,""),"")</f>
        <v/>
      </c>
      <c r="B2473" s="732">
        <f t="shared" ref="B2473:B2536" si="142">IF(C2473&lt;&gt;"",MONTH(C2473),"")</f>
        <v>3</v>
      </c>
      <c r="C2473" s="48">
        <f t="shared" si="141"/>
        <v>40998</v>
      </c>
      <c r="D2473" s="48" t="s">
        <v>1737</v>
      </c>
      <c r="E2473" s="920">
        <v>40998</v>
      </c>
      <c r="F2473" s="49" t="s">
        <v>1544</v>
      </c>
      <c r="G2473" s="49" t="s">
        <v>962</v>
      </c>
      <c r="H2473" s="909" t="s">
        <v>1705</v>
      </c>
      <c r="I2473" s="250">
        <v>450</v>
      </c>
      <c r="J2473" s="250">
        <v>14230.418268409287</v>
      </c>
      <c r="K2473" s="51">
        <f t="shared" si="140"/>
        <v>6403688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s="849" customFormat="1" ht="15.75" customHeight="1">
      <c r="A2474" s="204" t="str">
        <f>IF(B2474&lt;&gt;"",IF(AND(B2474&gt;=_TM1,B2474&lt;=_TM2,OR(TH!L2474="1111",TH!M2474="1111")),TH!D2474,""),"")</f>
        <v/>
      </c>
      <c r="B2474" s="732">
        <f t="shared" si="142"/>
        <v>3</v>
      </c>
      <c r="C2474" s="48">
        <f t="shared" si="141"/>
        <v>40998</v>
      </c>
      <c r="D2474" s="48" t="s">
        <v>1737</v>
      </c>
      <c r="E2474" s="920">
        <v>40998</v>
      </c>
      <c r="F2474" s="49" t="s">
        <v>1536</v>
      </c>
      <c r="G2474" s="49" t="s">
        <v>962</v>
      </c>
      <c r="H2474" s="909" t="s">
        <v>1705</v>
      </c>
      <c r="I2474" s="250">
        <v>150</v>
      </c>
      <c r="J2474" s="250">
        <v>8200.3516017426191</v>
      </c>
      <c r="K2474" s="51">
        <f t="shared" si="140"/>
        <v>1230053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s="849" customFormat="1" ht="15.75" customHeight="1">
      <c r="A2475" s="204" t="str">
        <f>IF(B2475&lt;&gt;"",IF(AND(B2475&gt;=_TM1,B2475&lt;=_TM2,OR(TH!L2475="1111",TH!M2475="1111")),TH!D2475,""),"")</f>
        <v/>
      </c>
      <c r="B2475" s="732">
        <f t="shared" si="142"/>
        <v>3</v>
      </c>
      <c r="C2475" s="48">
        <f t="shared" si="141"/>
        <v>40998</v>
      </c>
      <c r="D2475" s="48" t="s">
        <v>1737</v>
      </c>
      <c r="E2475" s="920">
        <v>40998</v>
      </c>
      <c r="F2475" s="49" t="s">
        <v>1539</v>
      </c>
      <c r="G2475" s="49" t="s">
        <v>962</v>
      </c>
      <c r="H2475" s="909" t="s">
        <v>1705</v>
      </c>
      <c r="I2475" s="250">
        <v>90</v>
      </c>
      <c r="J2475" s="250">
        <v>8760.551601742618</v>
      </c>
      <c r="K2475" s="51">
        <f t="shared" si="140"/>
        <v>788450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s="849" customFormat="1" ht="15.75" customHeight="1">
      <c r="A2476" s="204" t="str">
        <f>IF(B2476&lt;&gt;"",IF(AND(B2476&gt;=_TM1,B2476&lt;=_TM2,OR(TH!L2476="1111",TH!M2476="1111")),TH!D2476,""),"")</f>
        <v/>
      </c>
      <c r="B2476" s="732">
        <f t="shared" si="142"/>
        <v>3</v>
      </c>
      <c r="C2476" s="48">
        <f t="shared" si="141"/>
        <v>40998</v>
      </c>
      <c r="D2476" s="48" t="s">
        <v>1737</v>
      </c>
      <c r="E2476" s="920">
        <v>40998</v>
      </c>
      <c r="F2476" s="49" t="s">
        <v>1503</v>
      </c>
      <c r="G2476" s="49" t="s">
        <v>962</v>
      </c>
      <c r="H2476" s="909" t="s">
        <v>1705</v>
      </c>
      <c r="I2476" s="250">
        <v>210</v>
      </c>
      <c r="J2476" s="250">
        <v>8465.3516017426191</v>
      </c>
      <c r="K2476" s="51">
        <f t="shared" si="140"/>
        <v>1777724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s="849" customFormat="1" ht="15.75" customHeight="1">
      <c r="A2477" s="204" t="str">
        <f>IF(B2477&lt;&gt;"",IF(AND(B2477&gt;=_TM1,B2477&lt;=_TM2,OR(TH!L2477="1111",TH!M2477="1111")),TH!D2477,""),"")</f>
        <v/>
      </c>
      <c r="B2477" s="732">
        <f t="shared" si="142"/>
        <v>3</v>
      </c>
      <c r="C2477" s="48">
        <f t="shared" si="141"/>
        <v>40998</v>
      </c>
      <c r="D2477" s="48" t="s">
        <v>1737</v>
      </c>
      <c r="E2477" s="920">
        <v>40998</v>
      </c>
      <c r="F2477" s="49" t="s">
        <v>1546</v>
      </c>
      <c r="G2477" s="49" t="s">
        <v>962</v>
      </c>
      <c r="H2477" s="909" t="s">
        <v>1705</v>
      </c>
      <c r="I2477" s="250">
        <v>27</v>
      </c>
      <c r="J2477" s="250">
        <v>16834.684935075951</v>
      </c>
      <c r="K2477" s="51">
        <f t="shared" si="140"/>
        <v>454536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s="849" customFormat="1" ht="15.75" customHeight="1">
      <c r="A2478" s="204" t="str">
        <f>IF(B2478&lt;&gt;"",IF(AND(B2478&gt;=_TM1,B2478&lt;=_TM2,OR(TH!L2478="1111",TH!M2478="1111")),TH!D2478,""),"")</f>
        <v/>
      </c>
      <c r="B2478" s="732">
        <f t="shared" si="142"/>
        <v>3</v>
      </c>
      <c r="C2478" s="48">
        <f t="shared" si="141"/>
        <v>40998</v>
      </c>
      <c r="D2478" s="48" t="s">
        <v>1737</v>
      </c>
      <c r="E2478" s="920">
        <v>40998</v>
      </c>
      <c r="F2478" s="49" t="s">
        <v>1515</v>
      </c>
      <c r="G2478" s="49" t="s">
        <v>962</v>
      </c>
      <c r="H2478" s="909" t="s">
        <v>1705</v>
      </c>
      <c r="I2478" s="250">
        <v>250</v>
      </c>
      <c r="J2478" s="250">
        <v>7623.8022684092857</v>
      </c>
      <c r="K2478" s="51">
        <f t="shared" si="140"/>
        <v>1905951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s="849" customFormat="1" ht="15.75" customHeight="1">
      <c r="A2479" s="204" t="str">
        <f>IF(B2479&lt;&gt;"",IF(AND(B2479&gt;=_TM1,B2479&lt;=_TM2,OR(TH!L2479="1111",TH!M2479="1111")),TH!D2479,""),"")</f>
        <v/>
      </c>
      <c r="B2479" s="732">
        <f t="shared" si="142"/>
        <v>3</v>
      </c>
      <c r="C2479" s="48">
        <f t="shared" si="141"/>
        <v>40998</v>
      </c>
      <c r="D2479" s="48" t="s">
        <v>1737</v>
      </c>
      <c r="E2479" s="920">
        <v>40998</v>
      </c>
      <c r="F2479" s="49" t="s">
        <v>1540</v>
      </c>
      <c r="G2479" s="49" t="s">
        <v>962</v>
      </c>
      <c r="H2479" s="909" t="s">
        <v>1705</v>
      </c>
      <c r="I2479" s="250">
        <v>100</v>
      </c>
      <c r="J2479" s="250">
        <v>11461.518268409283</v>
      </c>
      <c r="K2479" s="51">
        <f t="shared" si="140"/>
        <v>1146152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s="849" customFormat="1" ht="15.75" customHeight="1">
      <c r="A2480" s="204" t="str">
        <f>IF(B2480&lt;&gt;"",IF(AND(B2480&gt;=_TM1,B2480&lt;=_TM2,OR(TH!L2480="1111",TH!M2480="1111")),TH!D2480,""),"")</f>
        <v/>
      </c>
      <c r="B2480" s="732">
        <f t="shared" si="142"/>
        <v>3</v>
      </c>
      <c r="C2480" s="48">
        <f t="shared" si="141"/>
        <v>40998</v>
      </c>
      <c r="D2480" s="48" t="s">
        <v>1737</v>
      </c>
      <c r="E2480" s="920">
        <v>40998</v>
      </c>
      <c r="F2480" s="49" t="s">
        <v>1515</v>
      </c>
      <c r="G2480" s="49" t="s">
        <v>962</v>
      </c>
      <c r="H2480" s="909" t="s">
        <v>1705</v>
      </c>
      <c r="I2480" s="250">
        <v>200</v>
      </c>
      <c r="J2480" s="250">
        <v>8761.0182684092852</v>
      </c>
      <c r="K2480" s="51">
        <f t="shared" si="140"/>
        <v>1752204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s="849" customFormat="1" ht="15.75" customHeight="1">
      <c r="A2481" s="204" t="str">
        <f>IF(B2481&lt;&gt;"",IF(AND(B2481&gt;=_TM1,B2481&lt;=_TM2,OR(TH!L2481="1111",TH!M2481="1111")),TH!D2481,""),"")</f>
        <v/>
      </c>
      <c r="B2481" s="732">
        <f t="shared" si="142"/>
        <v>3</v>
      </c>
      <c r="C2481" s="48">
        <f t="shared" si="141"/>
        <v>40998</v>
      </c>
      <c r="D2481" s="48" t="s">
        <v>1737</v>
      </c>
      <c r="E2481" s="920">
        <v>40998</v>
      </c>
      <c r="F2481" s="49" t="s">
        <v>1545</v>
      </c>
      <c r="G2481" s="49" t="s">
        <v>962</v>
      </c>
      <c r="H2481" s="909" t="s">
        <v>1705</v>
      </c>
      <c r="I2481" s="250">
        <v>168</v>
      </c>
      <c r="J2481" s="250">
        <v>11577.988506504524</v>
      </c>
      <c r="K2481" s="51">
        <f t="shared" si="140"/>
        <v>1945102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s="849" customFormat="1" ht="15.75" customHeight="1">
      <c r="A2482" s="204" t="str">
        <f>IF(B2482&lt;&gt;"",IF(AND(B2482&gt;=_TM1,B2482&lt;=_TM2,OR(TH!L2482="1111",TH!M2482="1111")),TH!D2482,""),"")</f>
        <v/>
      </c>
      <c r="B2482" s="732">
        <f t="shared" si="142"/>
        <v>3</v>
      </c>
      <c r="C2482" s="48">
        <f t="shared" si="141"/>
        <v>40998</v>
      </c>
      <c r="D2482" s="48" t="s">
        <v>1737</v>
      </c>
      <c r="E2482" s="920">
        <v>40998</v>
      </c>
      <c r="F2482" s="49" t="s">
        <v>1542</v>
      </c>
      <c r="G2482" s="49" t="s">
        <v>963</v>
      </c>
      <c r="H2482" s="909" t="s">
        <v>1705</v>
      </c>
      <c r="I2482" s="250">
        <v>505</v>
      </c>
      <c r="J2482" s="250">
        <v>11486.17668425087</v>
      </c>
      <c r="K2482" s="51">
        <f t="shared" si="140"/>
        <v>5800519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s="849" customFormat="1" ht="15.75" customHeight="1">
      <c r="A2483" s="204" t="str">
        <f>IF(B2483&lt;&gt;"",IF(AND(B2483&gt;=_TM1,B2483&lt;=_TM2,OR(TH!L2483="1111",TH!M2483="1111")),TH!D2483,""),"")</f>
        <v/>
      </c>
      <c r="B2483" s="732">
        <f t="shared" si="142"/>
        <v>3</v>
      </c>
      <c r="C2483" s="48">
        <f t="shared" si="141"/>
        <v>40998</v>
      </c>
      <c r="D2483" s="48" t="s">
        <v>1737</v>
      </c>
      <c r="E2483" s="920">
        <v>40998</v>
      </c>
      <c r="F2483" s="49" t="s">
        <v>1543</v>
      </c>
      <c r="G2483" s="49" t="s">
        <v>963</v>
      </c>
      <c r="H2483" s="909" t="s">
        <v>1705</v>
      </c>
      <c r="I2483" s="250">
        <v>266</v>
      </c>
      <c r="J2483" s="250">
        <v>13006.025787206278</v>
      </c>
      <c r="K2483" s="51">
        <f t="shared" si="140"/>
        <v>3459603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s="849" customFormat="1" ht="15.75" customHeight="1">
      <c r="A2484" s="204" t="str">
        <f>IF(B2484&lt;&gt;"",IF(AND(B2484&gt;=_TM1,B2484&lt;=_TM2,OR(TH!L2484="1111",TH!M2484="1111")),TH!D2484,""),"")</f>
        <v/>
      </c>
      <c r="B2484" s="732">
        <f t="shared" si="142"/>
        <v>3</v>
      </c>
      <c r="C2484" s="48">
        <f t="shared" si="141"/>
        <v>40998</v>
      </c>
      <c r="D2484" s="48" t="s">
        <v>1737</v>
      </c>
      <c r="E2484" s="920">
        <v>40998</v>
      </c>
      <c r="F2484" s="49" t="s">
        <v>1544</v>
      </c>
      <c r="G2484" s="49" t="s">
        <v>963</v>
      </c>
      <c r="H2484" s="909" t="s">
        <v>1705</v>
      </c>
      <c r="I2484" s="250">
        <v>860</v>
      </c>
      <c r="J2484" s="250">
        <v>14466.506640502306</v>
      </c>
      <c r="K2484" s="51">
        <f t="shared" si="140"/>
        <v>12441196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s="849" customFormat="1" ht="15.75" customHeight="1">
      <c r="A2485" s="204" t="str">
        <f>IF(B2485&lt;&gt;"",IF(AND(B2485&gt;=_TM1,B2485&lt;=_TM2,OR(TH!L2485="1111",TH!M2485="1111")),TH!D2485,""),"")</f>
        <v/>
      </c>
      <c r="B2485" s="732">
        <f t="shared" si="142"/>
        <v>3</v>
      </c>
      <c r="C2485" s="48">
        <f t="shared" si="141"/>
        <v>40998</v>
      </c>
      <c r="D2485" s="48" t="s">
        <v>1737</v>
      </c>
      <c r="E2485" s="920">
        <v>40998</v>
      </c>
      <c r="F2485" s="49" t="s">
        <v>1221</v>
      </c>
      <c r="G2485" s="49" t="s">
        <v>964</v>
      </c>
      <c r="H2485" s="909" t="s">
        <v>1705</v>
      </c>
      <c r="I2485" s="250">
        <v>425</v>
      </c>
      <c r="J2485" s="250">
        <v>9169.1947389975194</v>
      </c>
      <c r="K2485" s="51">
        <f t="shared" si="140"/>
        <v>3896908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s="849" customFormat="1" ht="15.75" customHeight="1">
      <c r="A2486" s="204" t="str">
        <f>IF(B2486&lt;&gt;"",IF(AND(B2486&gt;=_TM1,B2486&lt;=_TM2,OR(TH!L2486="1111",TH!M2486="1111")),TH!D2486,""),"")</f>
        <v/>
      </c>
      <c r="B2486" s="732">
        <f t="shared" si="142"/>
        <v>3</v>
      </c>
      <c r="C2486" s="48">
        <f t="shared" si="141"/>
        <v>40998</v>
      </c>
      <c r="D2486" s="48" t="s">
        <v>1737</v>
      </c>
      <c r="E2486" s="920">
        <v>40998</v>
      </c>
      <c r="F2486" s="49" t="s">
        <v>1481</v>
      </c>
      <c r="G2486" s="49" t="s">
        <v>1561</v>
      </c>
      <c r="H2486" s="909" t="s">
        <v>1705</v>
      </c>
      <c r="I2486" s="250">
        <v>10</v>
      </c>
      <c r="J2486" s="250">
        <v>33129.01826840928</v>
      </c>
      <c r="K2486" s="51">
        <f t="shared" si="140"/>
        <v>331290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s="849" customFormat="1" ht="15.75" customHeight="1">
      <c r="A2487" s="204" t="str">
        <f>IF(B2487&lt;&gt;"",IF(AND(B2487&gt;=_TM1,B2487&lt;=_TM2,OR(TH!L2487="1111",TH!M2487="1111")),TH!D2487,""),"")</f>
        <v/>
      </c>
      <c r="B2487" s="732">
        <f t="shared" si="142"/>
        <v>3</v>
      </c>
      <c r="C2487" s="48">
        <f t="shared" si="141"/>
        <v>40998</v>
      </c>
      <c r="D2487" s="48" t="s">
        <v>1737</v>
      </c>
      <c r="E2487" s="920">
        <v>40998</v>
      </c>
      <c r="F2487" s="49" t="s">
        <v>1483</v>
      </c>
      <c r="G2487" s="49" t="s">
        <v>1561</v>
      </c>
      <c r="H2487" s="909" t="s">
        <v>1705</v>
      </c>
      <c r="I2487" s="250">
        <v>50</v>
      </c>
      <c r="J2487" s="250">
        <v>17854.018268409283</v>
      </c>
      <c r="K2487" s="51">
        <f t="shared" si="140"/>
        <v>892701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s="849" customFormat="1" ht="15.75" customHeight="1">
      <c r="A2488" s="204" t="str">
        <f>IF(B2488&lt;&gt;"",IF(AND(B2488&gt;=_TM1,B2488&lt;=_TM2,OR(TH!L2488="1111",TH!M2488="1111")),TH!D2488,""),"")</f>
        <v/>
      </c>
      <c r="B2488" s="732">
        <f t="shared" si="142"/>
        <v>3</v>
      </c>
      <c r="C2488" s="48">
        <f t="shared" si="141"/>
        <v>40998</v>
      </c>
      <c r="D2488" s="48" t="s">
        <v>1737</v>
      </c>
      <c r="E2488" s="920">
        <v>40998</v>
      </c>
      <c r="F2488" s="49" t="s">
        <v>1484</v>
      </c>
      <c r="G2488" s="49" t="s">
        <v>1561</v>
      </c>
      <c r="H2488" s="909" t="s">
        <v>1705</v>
      </c>
      <c r="I2488" s="250">
        <v>75</v>
      </c>
      <c r="J2488" s="250">
        <v>34556.018268409287</v>
      </c>
      <c r="K2488" s="51">
        <f t="shared" si="140"/>
        <v>2591701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s="849" customFormat="1" ht="15.75" customHeight="1">
      <c r="A2489" s="204" t="str">
        <f>IF(B2489&lt;&gt;"",IF(AND(B2489&gt;=_TM1,B2489&lt;=_TM2,OR(TH!L2489="1111",TH!M2489="1111")),TH!D2489,""),"")</f>
        <v/>
      </c>
      <c r="B2489" s="732">
        <f t="shared" si="142"/>
        <v>3</v>
      </c>
      <c r="C2489" s="48">
        <f t="shared" si="141"/>
        <v>40998</v>
      </c>
      <c r="D2489" s="48" t="s">
        <v>1737</v>
      </c>
      <c r="E2489" s="920">
        <v>40998</v>
      </c>
      <c r="F2489" s="49" t="s">
        <v>1235</v>
      </c>
      <c r="G2489" s="49" t="s">
        <v>1561</v>
      </c>
      <c r="H2489" s="909" t="s">
        <v>1705</v>
      </c>
      <c r="I2489" s="250">
        <v>150</v>
      </c>
      <c r="J2489" s="250">
        <v>28620.018268409283</v>
      </c>
      <c r="K2489" s="51">
        <f t="shared" si="140"/>
        <v>4293003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s="849" customFormat="1" ht="15.75" customHeight="1">
      <c r="A2490" s="204" t="str">
        <f>IF(B2490&lt;&gt;"",IF(AND(B2490&gt;=_TM1,B2490&lt;=_TM2,OR(TH!L2490="1111",TH!M2490="1111")),TH!D2490,""),"")</f>
        <v/>
      </c>
      <c r="B2490" s="732">
        <f t="shared" si="142"/>
        <v>3</v>
      </c>
      <c r="C2490" s="48">
        <f t="shared" si="141"/>
        <v>40998</v>
      </c>
      <c r="D2490" s="48" t="s">
        <v>1737</v>
      </c>
      <c r="E2490" s="920">
        <v>40998</v>
      </c>
      <c r="F2490" s="49" t="s">
        <v>1236</v>
      </c>
      <c r="G2490" s="49" t="s">
        <v>1561</v>
      </c>
      <c r="H2490" s="909" t="s">
        <v>1705</v>
      </c>
      <c r="I2490" s="250">
        <v>410</v>
      </c>
      <c r="J2490" s="250">
        <v>2127.1109513361143</v>
      </c>
      <c r="K2490" s="51">
        <f t="shared" si="140"/>
        <v>872115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s="849" customFormat="1" ht="15.75" customHeight="1">
      <c r="A2491" s="204" t="str">
        <f>IF(B2491&lt;&gt;"",IF(AND(B2491&gt;=_TM1,B2491&lt;=_TM2,OR(TH!L2491="1111",TH!M2491="1111")),TH!D2491,""),"")</f>
        <v/>
      </c>
      <c r="B2491" s="732">
        <f t="shared" si="142"/>
        <v>3</v>
      </c>
      <c r="C2491" s="48">
        <f t="shared" si="141"/>
        <v>40998</v>
      </c>
      <c r="D2491" s="48" t="s">
        <v>1737</v>
      </c>
      <c r="E2491" s="920">
        <v>40998</v>
      </c>
      <c r="F2491" s="49" t="s">
        <v>1485</v>
      </c>
      <c r="G2491" s="49" t="s">
        <v>1561</v>
      </c>
      <c r="H2491" s="909" t="s">
        <v>1705</v>
      </c>
      <c r="I2491" s="250">
        <v>220</v>
      </c>
      <c r="J2491" s="250">
        <v>2554.8182684092853</v>
      </c>
      <c r="K2491" s="51">
        <f t="shared" si="140"/>
        <v>562060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s="894" customFormat="1" ht="15.75" customHeight="1">
      <c r="A2492" s="204" t="str">
        <f>IF(B2492&lt;&gt;"",IF(AND(B2492&gt;=_TM1,B2492&lt;=_TM2,OR(TH!L2492="1111",TH!M2492="1111")),TH!D2492,""),"")</f>
        <v/>
      </c>
      <c r="B2492" s="885">
        <f t="shared" si="142"/>
        <v>4</v>
      </c>
      <c r="C2492" s="911">
        <f t="shared" si="141"/>
        <v>41003</v>
      </c>
      <c r="D2492" s="48" t="s">
        <v>1737</v>
      </c>
      <c r="E2492" s="923">
        <v>41003</v>
      </c>
      <c r="F2492" s="916" t="s">
        <v>1145</v>
      </c>
      <c r="G2492" s="916" t="s">
        <v>965</v>
      </c>
      <c r="H2492" s="914" t="s">
        <v>1705</v>
      </c>
      <c r="I2492" s="890">
        <v>500</v>
      </c>
      <c r="J2492" s="890">
        <v>10775.16</v>
      </c>
      <c r="K2492" s="891">
        <f t="shared" si="140"/>
        <v>5387580</v>
      </c>
      <c r="L2492" s="912" t="s">
        <v>177</v>
      </c>
      <c r="M2492" s="91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849" customFormat="1" ht="15.75" customHeight="1">
      <c r="A2493" s="204" t="str">
        <f>IF(B2493&lt;&gt;"",IF(AND(B2493&gt;=_TM1,B2493&lt;=_TM2,OR(TH!L2493="1111",TH!M2493="1111")),TH!D2493,""),"")</f>
        <v/>
      </c>
      <c r="B2493" s="732">
        <f t="shared" si="142"/>
        <v>4</v>
      </c>
      <c r="C2493" s="48">
        <f t="shared" si="141"/>
        <v>41003</v>
      </c>
      <c r="D2493" s="48" t="s">
        <v>1737</v>
      </c>
      <c r="E2493" s="920">
        <v>41003</v>
      </c>
      <c r="F2493" s="49" t="s">
        <v>1220</v>
      </c>
      <c r="G2493" s="49" t="s">
        <v>965</v>
      </c>
      <c r="H2493" s="909" t="s">
        <v>1705</v>
      </c>
      <c r="I2493" s="250">
        <v>200</v>
      </c>
      <c r="J2493" s="250">
        <v>7201.74</v>
      </c>
      <c r="K2493" s="51">
        <f t="shared" si="140"/>
        <v>1440348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849" customFormat="1" ht="15.75" customHeight="1">
      <c r="A2494" s="204" t="str">
        <f>IF(B2494&lt;&gt;"",IF(AND(B2494&gt;=_TM1,B2494&lt;=_TM2,OR(TH!L2494="1111",TH!M2494="1111")),TH!D2494,""),"")</f>
        <v/>
      </c>
      <c r="B2494" s="732">
        <f t="shared" si="142"/>
        <v>4</v>
      </c>
      <c r="C2494" s="48">
        <f t="shared" si="141"/>
        <v>41003</v>
      </c>
      <c r="D2494" s="48" t="s">
        <v>1737</v>
      </c>
      <c r="E2494" s="920">
        <v>41003</v>
      </c>
      <c r="F2494" s="49" t="s">
        <v>1219</v>
      </c>
      <c r="G2494" s="49" t="s">
        <v>966</v>
      </c>
      <c r="H2494" s="909" t="s">
        <v>1705</v>
      </c>
      <c r="I2494" s="250">
        <v>507</v>
      </c>
      <c r="J2494" s="250">
        <v>7119.6508875739646</v>
      </c>
      <c r="K2494" s="51">
        <f t="shared" si="140"/>
        <v>3609663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849" customFormat="1" ht="15.75" customHeight="1">
      <c r="A2495" s="204" t="str">
        <f>IF(B2495&lt;&gt;"",IF(AND(B2495&gt;=_TM1,B2495&lt;=_TM2,OR(TH!L2495="1111",TH!M2495="1111")),TH!D2495,""),"")</f>
        <v/>
      </c>
      <c r="B2495" s="732">
        <f t="shared" si="142"/>
        <v>4</v>
      </c>
      <c r="C2495" s="48">
        <f t="shared" si="141"/>
        <v>41004</v>
      </c>
      <c r="D2495" s="48" t="s">
        <v>1737</v>
      </c>
      <c r="E2495" s="920">
        <v>41004</v>
      </c>
      <c r="F2495" s="49" t="s">
        <v>1157</v>
      </c>
      <c r="G2495" s="49" t="s">
        <v>967</v>
      </c>
      <c r="H2495" s="909" t="s">
        <v>1705</v>
      </c>
      <c r="I2495" s="250">
        <v>1488</v>
      </c>
      <c r="J2495" s="250">
        <v>9567.5329301075271</v>
      </c>
      <c r="K2495" s="51">
        <f t="shared" si="140"/>
        <v>14236489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849" customFormat="1" ht="15.75" customHeight="1">
      <c r="A2496" s="204" t="str">
        <f>IF(B2496&lt;&gt;"",IF(AND(B2496&gt;=_TM1,B2496&lt;=_TM2,OR(TH!L2496="1111",TH!M2496="1111")),TH!D2496,""),"")</f>
        <v/>
      </c>
      <c r="B2496" s="732">
        <f t="shared" si="142"/>
        <v>4</v>
      </c>
      <c r="C2496" s="48">
        <f t="shared" si="141"/>
        <v>41009</v>
      </c>
      <c r="D2496" s="48" t="s">
        <v>1737</v>
      </c>
      <c r="E2496" s="920">
        <v>41009</v>
      </c>
      <c r="F2496" s="921" t="s">
        <v>1121</v>
      </c>
      <c r="G2496" s="49" t="s">
        <v>968</v>
      </c>
      <c r="H2496" s="909" t="s">
        <v>1705</v>
      </c>
      <c r="I2496" s="250">
        <v>420</v>
      </c>
      <c r="J2496" s="250">
        <v>7904.3023809523811</v>
      </c>
      <c r="K2496" s="51">
        <f t="shared" si="140"/>
        <v>3319807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849" customFormat="1" ht="15.75" customHeight="1">
      <c r="A2497" s="204" t="str">
        <f>IF(B2497&lt;&gt;"",IF(AND(B2497&gt;=_TM1,B2497&lt;=_TM2,OR(TH!L2497="1111",TH!M2497="1111")),TH!D2497,""),"")</f>
        <v/>
      </c>
      <c r="B2497" s="732">
        <f t="shared" si="142"/>
        <v>4</v>
      </c>
      <c r="C2497" s="48">
        <f t="shared" si="141"/>
        <v>41009</v>
      </c>
      <c r="D2497" s="48" t="s">
        <v>1737</v>
      </c>
      <c r="E2497" s="920">
        <v>41009</v>
      </c>
      <c r="F2497" s="49" t="s">
        <v>1218</v>
      </c>
      <c r="G2497" s="49" t="s">
        <v>968</v>
      </c>
      <c r="H2497" s="909" t="s">
        <v>1705</v>
      </c>
      <c r="I2497" s="250">
        <v>412</v>
      </c>
      <c r="J2497" s="250">
        <v>7499.9733009708734</v>
      </c>
      <c r="K2497" s="51">
        <f t="shared" si="140"/>
        <v>3089989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849" customFormat="1" ht="15.75" customHeight="1">
      <c r="A2498" s="204" t="str">
        <f>IF(B2498&lt;&gt;"",IF(AND(B2498&gt;=_TM1,B2498&lt;=_TM2,OR(TH!L2498="1111",TH!M2498="1111")),TH!D2498,""),"")</f>
        <v/>
      </c>
      <c r="B2498" s="732">
        <f t="shared" si="142"/>
        <v>4</v>
      </c>
      <c r="C2498" s="48">
        <f t="shared" si="141"/>
        <v>41009</v>
      </c>
      <c r="D2498" s="48" t="s">
        <v>1737</v>
      </c>
      <c r="E2498" s="920">
        <v>41009</v>
      </c>
      <c r="F2498" s="49" t="s">
        <v>1217</v>
      </c>
      <c r="G2498" s="49" t="s">
        <v>969</v>
      </c>
      <c r="H2498" s="909" t="s">
        <v>1705</v>
      </c>
      <c r="I2498" s="250">
        <v>1000</v>
      </c>
      <c r="J2498" s="250">
        <v>2367.241</v>
      </c>
      <c r="K2498" s="51">
        <f t="shared" si="140"/>
        <v>2367241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849" customFormat="1" ht="15.75" customHeight="1">
      <c r="A2499" s="204" t="str">
        <f>IF(B2499&lt;&gt;"",IF(AND(B2499&gt;=_TM1,B2499&lt;=_TM2,OR(TH!L2499="1111",TH!M2499="1111")),TH!D2499,""),"")</f>
        <v/>
      </c>
      <c r="B2499" s="732">
        <f t="shared" si="142"/>
        <v>4</v>
      </c>
      <c r="C2499" s="48">
        <f t="shared" si="141"/>
        <v>41009</v>
      </c>
      <c r="D2499" s="48" t="s">
        <v>1737</v>
      </c>
      <c r="E2499" s="920">
        <v>41009</v>
      </c>
      <c r="F2499" s="49" t="s">
        <v>1216</v>
      </c>
      <c r="G2499" s="49" t="s">
        <v>969</v>
      </c>
      <c r="H2499" s="909" t="s">
        <v>1705</v>
      </c>
      <c r="I2499" s="250">
        <v>1500</v>
      </c>
      <c r="J2499" s="250">
        <v>1312.0186666666666</v>
      </c>
      <c r="K2499" s="51">
        <f t="shared" si="140"/>
        <v>1968028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849" customFormat="1" ht="15.75" customHeight="1">
      <c r="A2500" s="204" t="str">
        <f>IF(B2500&lt;&gt;"",IF(AND(B2500&gt;=_TM1,B2500&lt;=_TM2,OR(TH!L2500="1111",TH!M2500="1111")),TH!D2500,""),"")</f>
        <v/>
      </c>
      <c r="B2500" s="732">
        <f t="shared" si="142"/>
        <v>4</v>
      </c>
      <c r="C2500" s="48">
        <f t="shared" si="141"/>
        <v>41010</v>
      </c>
      <c r="D2500" s="48" t="s">
        <v>1737</v>
      </c>
      <c r="E2500" s="920">
        <v>41010</v>
      </c>
      <c r="F2500" s="49" t="s">
        <v>1214</v>
      </c>
      <c r="G2500" s="49" t="s">
        <v>970</v>
      </c>
      <c r="H2500" s="909" t="s">
        <v>1705</v>
      </c>
      <c r="I2500" s="250">
        <v>85</v>
      </c>
      <c r="J2500" s="250">
        <v>15896.094117647059</v>
      </c>
      <c r="K2500" s="51">
        <f t="shared" ref="K2500:K2505" si="143">ROUND(I2500*J2500,0)</f>
        <v>1351168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849" customFormat="1" ht="15.75" customHeight="1">
      <c r="A2501" s="204" t="str">
        <f>IF(B2501&lt;&gt;"",IF(AND(B2501&gt;=_TM1,B2501&lt;=_TM2,OR(TH!L2501="1111",TH!M2501="1111")),TH!D2501,""),"")</f>
        <v/>
      </c>
      <c r="B2501" s="732">
        <f t="shared" si="142"/>
        <v>4</v>
      </c>
      <c r="C2501" s="48">
        <f t="shared" si="141"/>
        <v>41016</v>
      </c>
      <c r="D2501" s="48" t="s">
        <v>1737</v>
      </c>
      <c r="E2501" s="920">
        <v>41016</v>
      </c>
      <c r="F2501" s="49" t="s">
        <v>1213</v>
      </c>
      <c r="G2501" s="49" t="s">
        <v>971</v>
      </c>
      <c r="H2501" s="909" t="s">
        <v>1705</v>
      </c>
      <c r="I2501" s="250">
        <v>940</v>
      </c>
      <c r="J2501" s="250">
        <v>9363.6148936170212</v>
      </c>
      <c r="K2501" s="51">
        <f t="shared" si="143"/>
        <v>8801798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849" customFormat="1" ht="15.75" customHeight="1">
      <c r="A2502" s="204" t="str">
        <f>IF(B2502&lt;&gt;"",IF(AND(B2502&gt;=_TM1,B2502&lt;=_TM2,OR(TH!L2502="1111",TH!M2502="1111")),TH!D2502,""),"")</f>
        <v/>
      </c>
      <c r="B2502" s="732">
        <f t="shared" si="142"/>
        <v>4</v>
      </c>
      <c r="C2502" s="48">
        <f t="shared" si="141"/>
        <v>41016</v>
      </c>
      <c r="D2502" s="48" t="s">
        <v>1737</v>
      </c>
      <c r="E2502" s="920">
        <v>41016</v>
      </c>
      <c r="F2502" s="49" t="s">
        <v>1563</v>
      </c>
      <c r="G2502" s="49" t="s">
        <v>1562</v>
      </c>
      <c r="H2502" s="909" t="s">
        <v>1705</v>
      </c>
      <c r="I2502" s="250">
        <v>146</v>
      </c>
      <c r="J2502" s="250">
        <v>16790.719178082192</v>
      </c>
      <c r="K2502" s="51">
        <f t="shared" si="143"/>
        <v>2451445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849" customFormat="1" ht="15.75" customHeight="1">
      <c r="A2503" s="204" t="str">
        <f>IF(B2503&lt;&gt;"",IF(AND(B2503&gt;=_TM1,B2503&lt;=_TM2,OR(TH!L2503="1111",TH!M2503="1111")),TH!D2503,""),"")</f>
        <v/>
      </c>
      <c r="B2503" s="732">
        <f t="shared" si="142"/>
        <v>4</v>
      </c>
      <c r="C2503" s="48">
        <f t="shared" si="141"/>
        <v>41016</v>
      </c>
      <c r="D2503" s="48" t="s">
        <v>1737</v>
      </c>
      <c r="E2503" s="920">
        <v>41016</v>
      </c>
      <c r="F2503" s="49" t="s">
        <v>1564</v>
      </c>
      <c r="G2503" s="49" t="s">
        <v>1562</v>
      </c>
      <c r="H2503" s="909" t="s">
        <v>1705</v>
      </c>
      <c r="I2503" s="250">
        <v>97</v>
      </c>
      <c r="J2503" s="250">
        <v>31909.649484536083</v>
      </c>
      <c r="K2503" s="51">
        <f t="shared" si="143"/>
        <v>3095236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849" customFormat="1" ht="15.75" customHeight="1">
      <c r="A2504" s="204" t="str">
        <f>IF(B2504&lt;&gt;"",IF(AND(B2504&gt;=_TM1,B2504&lt;=_TM2,OR(TH!L2504="1111",TH!M2504="1111")),TH!D2504,""),"")</f>
        <v/>
      </c>
      <c r="B2504" s="732">
        <f t="shared" si="142"/>
        <v>4</v>
      </c>
      <c r="C2504" s="48">
        <f t="shared" si="141"/>
        <v>41016</v>
      </c>
      <c r="D2504" s="48" t="s">
        <v>1737</v>
      </c>
      <c r="E2504" s="920">
        <v>41016</v>
      </c>
      <c r="F2504" s="919" t="s">
        <v>1565</v>
      </c>
      <c r="G2504" s="49" t="s">
        <v>1562</v>
      </c>
      <c r="H2504" s="909" t="s">
        <v>1705</v>
      </c>
      <c r="I2504" s="250">
        <v>201</v>
      </c>
      <c r="J2504" s="250">
        <v>16838.562189054726</v>
      </c>
      <c r="K2504" s="51">
        <f t="shared" si="143"/>
        <v>3384551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849" customFormat="1" ht="15.75" customHeight="1">
      <c r="A2505" s="204" t="str">
        <f>IF(B2505&lt;&gt;"",IF(AND(B2505&gt;=_TM1,B2505&lt;=_TM2,OR(TH!L2505="1111",TH!M2505="1111")),TH!D2505,""),"")</f>
        <v/>
      </c>
      <c r="B2505" s="732">
        <f t="shared" si="142"/>
        <v>4</v>
      </c>
      <c r="C2505" s="48">
        <f t="shared" si="141"/>
        <v>41016</v>
      </c>
      <c r="D2505" s="48" t="s">
        <v>1737</v>
      </c>
      <c r="E2505" s="920">
        <v>41016</v>
      </c>
      <c r="F2505" s="49" t="s">
        <v>1212</v>
      </c>
      <c r="G2505" s="49" t="s">
        <v>972</v>
      </c>
      <c r="H2505" s="909" t="s">
        <v>1705</v>
      </c>
      <c r="I2505" s="250">
        <v>110</v>
      </c>
      <c r="J2505" s="250">
        <v>30344.036363636365</v>
      </c>
      <c r="K2505" s="51">
        <f t="shared" si="143"/>
        <v>3337844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849" customFormat="1" ht="15.75" customHeight="1">
      <c r="A2506" s="204" t="str">
        <f>IF(B2506&lt;&gt;"",IF(AND(B2506&gt;=_TM1,B2506&lt;=_TM2,OR(TH!L2506="1111",TH!M2506="1111")),TH!D2506,""),"")</f>
        <v/>
      </c>
      <c r="B2506" s="732">
        <f t="shared" si="142"/>
        <v>4</v>
      </c>
      <c r="C2506" s="48">
        <f t="shared" si="141"/>
        <v>41016</v>
      </c>
      <c r="D2506" s="48" t="s">
        <v>1737</v>
      </c>
      <c r="E2506" s="920">
        <v>41016</v>
      </c>
      <c r="F2506" s="49" t="s">
        <v>1146</v>
      </c>
      <c r="G2506" s="49" t="s">
        <v>972</v>
      </c>
      <c r="H2506" s="909" t="s">
        <v>1705</v>
      </c>
      <c r="I2506" s="250">
        <v>85</v>
      </c>
      <c r="J2506" s="250">
        <v>46037.211764705884</v>
      </c>
      <c r="K2506" s="51">
        <f t="shared" ref="K2506:K2569" si="144">ROUND(I2506*J2506,0)</f>
        <v>3913163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849" customFormat="1" ht="15.75" customHeight="1">
      <c r="A2507" s="204" t="str">
        <f>IF(B2507&lt;&gt;"",IF(AND(B2507&gt;=_TM1,B2507&lt;=_TM2,OR(TH!L2507="1111",TH!M2507="1111")),TH!D2507,""),"")</f>
        <v/>
      </c>
      <c r="B2507" s="732">
        <f t="shared" si="142"/>
        <v>4</v>
      </c>
      <c r="C2507" s="48">
        <f t="shared" si="141"/>
        <v>41016</v>
      </c>
      <c r="D2507" s="48" t="s">
        <v>1737</v>
      </c>
      <c r="E2507" s="920">
        <v>41016</v>
      </c>
      <c r="F2507" s="49" t="s">
        <v>973</v>
      </c>
      <c r="G2507" s="49" t="s">
        <v>972</v>
      </c>
      <c r="H2507" s="909" t="s">
        <v>1705</v>
      </c>
      <c r="I2507" s="250">
        <v>150</v>
      </c>
      <c r="J2507" s="250">
        <v>16297.94</v>
      </c>
      <c r="K2507" s="51">
        <f t="shared" si="144"/>
        <v>2444691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849" customFormat="1" ht="15.75" customHeight="1">
      <c r="A2508" s="204" t="str">
        <f>IF(B2508&lt;&gt;"",IF(AND(B2508&gt;=_TM1,B2508&lt;=_TM2,OR(TH!L2508="1111",TH!M2508="1111")),TH!D2508,""),"")</f>
        <v/>
      </c>
      <c r="B2508" s="732">
        <f t="shared" si="142"/>
        <v>4</v>
      </c>
      <c r="C2508" s="48">
        <f t="shared" si="141"/>
        <v>41016</v>
      </c>
      <c r="D2508" s="48" t="s">
        <v>1737</v>
      </c>
      <c r="E2508" s="920">
        <v>41016</v>
      </c>
      <c r="F2508" s="49" t="s">
        <v>1211</v>
      </c>
      <c r="G2508" s="49" t="s">
        <v>972</v>
      </c>
      <c r="H2508" s="909" t="s">
        <v>1705</v>
      </c>
      <c r="I2508" s="250">
        <v>91</v>
      </c>
      <c r="J2508" s="250">
        <v>24626.043956043955</v>
      </c>
      <c r="K2508" s="51">
        <f t="shared" si="144"/>
        <v>2240970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849" customFormat="1" ht="15.75" customHeight="1">
      <c r="A2509" s="204" t="str">
        <f>IF(B2509&lt;&gt;"",IF(AND(B2509&gt;=_TM1,B2509&lt;=_TM2,OR(TH!L2509="1111",TH!M2509="1111")),TH!D2509,""),"")</f>
        <v/>
      </c>
      <c r="B2509" s="732">
        <f t="shared" si="142"/>
        <v>4</v>
      </c>
      <c r="C2509" s="48">
        <f t="shared" si="141"/>
        <v>41020</v>
      </c>
      <c r="D2509" s="48" t="s">
        <v>1737</v>
      </c>
      <c r="E2509" s="920">
        <v>41020</v>
      </c>
      <c r="F2509" s="919" t="s">
        <v>1210</v>
      </c>
      <c r="G2509" s="49" t="s">
        <v>974</v>
      </c>
      <c r="H2509" s="909" t="s">
        <v>1705</v>
      </c>
      <c r="I2509" s="250">
        <v>400</v>
      </c>
      <c r="J2509" s="250">
        <v>2582.665</v>
      </c>
      <c r="K2509" s="51">
        <f t="shared" si="144"/>
        <v>1033066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849" customFormat="1" ht="15.75" customHeight="1">
      <c r="A2510" s="204" t="str">
        <f>IF(B2510&lt;&gt;"",IF(AND(B2510&gt;=_TM1,B2510&lt;=_TM2,OR(TH!L2510="1111",TH!M2510="1111")),TH!D2510,""),"")</f>
        <v/>
      </c>
      <c r="B2510" s="732">
        <f t="shared" si="142"/>
        <v>4</v>
      </c>
      <c r="C2510" s="48">
        <f t="shared" ref="C2510:C2573" si="145">E2510</f>
        <v>41023</v>
      </c>
      <c r="D2510" s="48" t="s">
        <v>1737</v>
      </c>
      <c r="E2510" s="920">
        <v>41023</v>
      </c>
      <c r="F2510" s="921" t="s">
        <v>1209</v>
      </c>
      <c r="G2510" s="49" t="s">
        <v>975</v>
      </c>
      <c r="H2510" s="909" t="s">
        <v>1705</v>
      </c>
      <c r="I2510" s="250">
        <v>840</v>
      </c>
      <c r="J2510" s="250">
        <v>3765.7547619047618</v>
      </c>
      <c r="K2510" s="51">
        <f t="shared" si="144"/>
        <v>3163234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849" customFormat="1" ht="15.75" customHeight="1">
      <c r="A2511" s="204" t="str">
        <f>IF(B2511&lt;&gt;"",IF(AND(B2511&gt;=_TM1,B2511&lt;=_TM2,OR(TH!L2511="1111",TH!M2511="1111")),TH!D2511,""),"")</f>
        <v/>
      </c>
      <c r="B2511" s="732">
        <f t="shared" si="142"/>
        <v>4</v>
      </c>
      <c r="C2511" s="48">
        <f t="shared" si="145"/>
        <v>41023</v>
      </c>
      <c r="D2511" s="48" t="s">
        <v>1737</v>
      </c>
      <c r="E2511" s="920">
        <v>41023</v>
      </c>
      <c r="F2511" s="49" t="s">
        <v>977</v>
      </c>
      <c r="G2511" s="49" t="s">
        <v>975</v>
      </c>
      <c r="H2511" s="909" t="s">
        <v>1705</v>
      </c>
      <c r="I2511" s="250">
        <v>933</v>
      </c>
      <c r="J2511" s="250">
        <v>6573.028938906752</v>
      </c>
      <c r="K2511" s="51">
        <f t="shared" si="144"/>
        <v>6132636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849" customFormat="1" ht="15.75" customHeight="1">
      <c r="A2512" s="204" t="str">
        <f>IF(B2512&lt;&gt;"",IF(AND(B2512&gt;=_TM1,B2512&lt;=_TM2,OR(TH!L2512="1111",TH!M2512="1111")),TH!D2512,""),"")</f>
        <v/>
      </c>
      <c r="B2512" s="732">
        <f t="shared" si="142"/>
        <v>4</v>
      </c>
      <c r="C2512" s="48">
        <f t="shared" si="145"/>
        <v>41023</v>
      </c>
      <c r="D2512" s="48" t="s">
        <v>1737</v>
      </c>
      <c r="E2512" s="920">
        <v>41023</v>
      </c>
      <c r="F2512" s="734" t="s">
        <v>1208</v>
      </c>
      <c r="G2512" s="49" t="s">
        <v>978</v>
      </c>
      <c r="H2512" s="909" t="s">
        <v>1705</v>
      </c>
      <c r="I2512" s="250">
        <v>500</v>
      </c>
      <c r="J2512" s="250">
        <v>5728.24</v>
      </c>
      <c r="K2512" s="51">
        <f t="shared" si="144"/>
        <v>2864120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849" customFormat="1" ht="15.75" customHeight="1">
      <c r="A2513" s="204" t="str">
        <f>IF(B2513&lt;&gt;"",IF(AND(B2513&gt;=_TM1,B2513&lt;=_TM2,OR(TH!L2513="1111",TH!M2513="1111")),TH!D2513,""),"")</f>
        <v/>
      </c>
      <c r="B2513" s="732">
        <f t="shared" si="142"/>
        <v>4</v>
      </c>
      <c r="C2513" s="48">
        <f t="shared" si="145"/>
        <v>41025</v>
      </c>
      <c r="D2513" s="48" t="s">
        <v>1737</v>
      </c>
      <c r="E2513" s="920">
        <v>41025</v>
      </c>
      <c r="F2513" s="49" t="s">
        <v>1069</v>
      </c>
      <c r="G2513" s="49" t="s">
        <v>979</v>
      </c>
      <c r="H2513" s="909" t="s">
        <v>1705</v>
      </c>
      <c r="I2513" s="250">
        <v>190</v>
      </c>
      <c r="J2513" s="250">
        <v>5891.3052631578948</v>
      </c>
      <c r="K2513" s="51">
        <f t="shared" si="144"/>
        <v>1119348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849" customFormat="1" ht="15.75" customHeight="1">
      <c r="A2514" s="204" t="str">
        <f>IF(B2514&lt;&gt;"",IF(AND(B2514&gt;=_TM1,B2514&lt;=_TM2,OR(TH!L2514="1111",TH!M2514="1111")),TH!D2514,""),"")</f>
        <v/>
      </c>
      <c r="B2514" s="732">
        <f t="shared" si="142"/>
        <v>4</v>
      </c>
      <c r="C2514" s="48">
        <f t="shared" si="145"/>
        <v>41025</v>
      </c>
      <c r="D2514" s="48" t="s">
        <v>1737</v>
      </c>
      <c r="E2514" s="920">
        <v>41025</v>
      </c>
      <c r="F2514" s="49" t="s">
        <v>1070</v>
      </c>
      <c r="G2514" s="49" t="s">
        <v>979</v>
      </c>
      <c r="H2514" s="909" t="s">
        <v>1705</v>
      </c>
      <c r="I2514" s="250">
        <v>712</v>
      </c>
      <c r="J2514" s="250">
        <v>6575.2738764044943</v>
      </c>
      <c r="K2514" s="51">
        <f t="shared" si="144"/>
        <v>4681595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849" customFormat="1" ht="15.75" customHeight="1">
      <c r="A2515" s="204" t="str">
        <f>IF(B2515&lt;&gt;"",IF(AND(B2515&gt;=_TM1,B2515&lt;=_TM2,OR(TH!L2515="1111",TH!M2515="1111")),TH!D2515,""),"")</f>
        <v/>
      </c>
      <c r="B2515" s="732">
        <f t="shared" si="142"/>
        <v>4</v>
      </c>
      <c r="C2515" s="48">
        <f t="shared" si="145"/>
        <v>41025</v>
      </c>
      <c r="D2515" s="48" t="s">
        <v>1737</v>
      </c>
      <c r="E2515" s="920">
        <v>41025</v>
      </c>
      <c r="F2515" s="49" t="s">
        <v>1478</v>
      </c>
      <c r="G2515" s="49" t="s">
        <v>1566</v>
      </c>
      <c r="H2515" s="909" t="s">
        <v>1705</v>
      </c>
      <c r="I2515" s="250">
        <v>75</v>
      </c>
      <c r="J2515" s="250">
        <v>41272.04</v>
      </c>
      <c r="K2515" s="51">
        <f t="shared" si="144"/>
        <v>3095403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849" customFormat="1" ht="15.75" customHeight="1">
      <c r="A2516" s="204" t="str">
        <f>IF(B2516&lt;&gt;"",IF(AND(B2516&gt;=_TM1,B2516&lt;=_TM2,OR(TH!L2516="1111",TH!M2516="1111")),TH!D2516,""),"")</f>
        <v/>
      </c>
      <c r="B2516" s="732">
        <f t="shared" si="142"/>
        <v>4</v>
      </c>
      <c r="C2516" s="48">
        <f t="shared" si="145"/>
        <v>41025</v>
      </c>
      <c r="D2516" s="48" t="s">
        <v>1737</v>
      </c>
      <c r="E2516" s="920">
        <v>41025</v>
      </c>
      <c r="F2516" s="49" t="s">
        <v>1479</v>
      </c>
      <c r="G2516" s="49" t="s">
        <v>1566</v>
      </c>
      <c r="H2516" s="909" t="s">
        <v>1705</v>
      </c>
      <c r="I2516" s="250">
        <v>150</v>
      </c>
      <c r="J2516" s="250">
        <v>24572.306666666667</v>
      </c>
      <c r="K2516" s="51">
        <f t="shared" si="144"/>
        <v>3685846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849" customFormat="1" ht="15.75" customHeight="1">
      <c r="A2517" s="204" t="str">
        <f>IF(B2517&lt;&gt;"",IF(AND(B2517&gt;=_TM1,B2517&lt;=_TM2,OR(TH!L2517="1111",TH!M2517="1111")),TH!D2517,""),"")</f>
        <v/>
      </c>
      <c r="B2517" s="732">
        <f t="shared" si="142"/>
        <v>4</v>
      </c>
      <c r="C2517" s="48">
        <f t="shared" si="145"/>
        <v>41025</v>
      </c>
      <c r="D2517" s="48" t="s">
        <v>1737</v>
      </c>
      <c r="E2517" s="920">
        <v>41025</v>
      </c>
      <c r="F2517" s="49" t="s">
        <v>1480</v>
      </c>
      <c r="G2517" s="49" t="s">
        <v>1566</v>
      </c>
      <c r="H2517" s="909" t="s">
        <v>1705</v>
      </c>
      <c r="I2517" s="250">
        <v>100</v>
      </c>
      <c r="J2517" s="250">
        <v>42252.04</v>
      </c>
      <c r="K2517" s="51">
        <f t="shared" si="144"/>
        <v>4225204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849" customFormat="1" ht="15.75" customHeight="1">
      <c r="A2518" s="204" t="str">
        <f>IF(B2518&lt;&gt;"",IF(AND(B2518&gt;=_TM1,B2518&lt;=_TM2,OR(TH!L2518="1111",TH!M2518="1111")),TH!D2518,""),"")</f>
        <v/>
      </c>
      <c r="B2518" s="732">
        <f t="shared" si="142"/>
        <v>4</v>
      </c>
      <c r="C2518" s="48">
        <f t="shared" si="145"/>
        <v>41025</v>
      </c>
      <c r="D2518" s="48" t="s">
        <v>1737</v>
      </c>
      <c r="E2518" s="920">
        <v>41025</v>
      </c>
      <c r="F2518" s="49" t="s">
        <v>1481</v>
      </c>
      <c r="G2518" s="49" t="s">
        <v>1566</v>
      </c>
      <c r="H2518" s="909" t="s">
        <v>1705</v>
      </c>
      <c r="I2518" s="250">
        <v>140</v>
      </c>
      <c r="J2518" s="250">
        <v>34664.042857142857</v>
      </c>
      <c r="K2518" s="51">
        <f t="shared" si="144"/>
        <v>4852966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s="849" customFormat="1" ht="15.75" customHeight="1">
      <c r="A2519" s="204" t="str">
        <f>IF(B2519&lt;&gt;"",IF(AND(B2519&gt;=_TM1,B2519&lt;=_TM2,OR(TH!L2519="1111",TH!M2519="1111")),TH!D2519,""),"")</f>
        <v/>
      </c>
      <c r="B2519" s="732">
        <f t="shared" si="142"/>
        <v>4</v>
      </c>
      <c r="C2519" s="48">
        <f t="shared" si="145"/>
        <v>41025</v>
      </c>
      <c r="D2519" s="48" t="s">
        <v>1737</v>
      </c>
      <c r="E2519" s="920">
        <v>41025</v>
      </c>
      <c r="F2519" s="49" t="s">
        <v>1482</v>
      </c>
      <c r="G2519" s="49" t="s">
        <v>1566</v>
      </c>
      <c r="H2519" s="909" t="s">
        <v>1705</v>
      </c>
      <c r="I2519" s="250">
        <v>210</v>
      </c>
      <c r="J2519" s="250">
        <v>26498.423809523811</v>
      </c>
      <c r="K2519" s="51">
        <f t="shared" si="144"/>
        <v>5564669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s="849" customFormat="1" ht="15.75" customHeight="1">
      <c r="A2520" s="204" t="str">
        <f>IF(B2520&lt;&gt;"",IF(AND(B2520&gt;=_TM1,B2520&lt;=_TM2,OR(TH!L2520="1111",TH!M2520="1111")),TH!D2520,""),"")</f>
        <v/>
      </c>
      <c r="B2520" s="732">
        <f t="shared" si="142"/>
        <v>4</v>
      </c>
      <c r="C2520" s="48">
        <f t="shared" si="145"/>
        <v>41025</v>
      </c>
      <c r="D2520" s="48" t="s">
        <v>1737</v>
      </c>
      <c r="E2520" s="920">
        <v>41025</v>
      </c>
      <c r="F2520" s="49" t="s">
        <v>1483</v>
      </c>
      <c r="G2520" s="49" t="s">
        <v>1566</v>
      </c>
      <c r="H2520" s="909" t="s">
        <v>1705</v>
      </c>
      <c r="I2520" s="250">
        <v>328</v>
      </c>
      <c r="J2520" s="250">
        <v>18465.795731707316</v>
      </c>
      <c r="K2520" s="51">
        <f t="shared" si="144"/>
        <v>6056781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s="849" customFormat="1" ht="15.75" customHeight="1">
      <c r="A2521" s="204" t="str">
        <f>IF(B2521&lt;&gt;"",IF(AND(B2521&gt;=_TM1,B2521&lt;=_TM2,OR(TH!L2521="1111",TH!M2521="1111")),TH!D2521,""),"")</f>
        <v/>
      </c>
      <c r="B2521" s="732">
        <f t="shared" si="142"/>
        <v>4</v>
      </c>
      <c r="C2521" s="48">
        <f t="shared" si="145"/>
        <v>41025</v>
      </c>
      <c r="D2521" s="48" t="s">
        <v>1737</v>
      </c>
      <c r="E2521" s="920">
        <v>41025</v>
      </c>
      <c r="F2521" s="49" t="s">
        <v>1111</v>
      </c>
      <c r="G2521" s="49" t="s">
        <v>1566</v>
      </c>
      <c r="H2521" s="909" t="s">
        <v>1705</v>
      </c>
      <c r="I2521" s="250">
        <v>500</v>
      </c>
      <c r="J2521" s="250">
        <v>1804.14</v>
      </c>
      <c r="K2521" s="51">
        <f t="shared" si="144"/>
        <v>902070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s="849" customFormat="1" ht="15.75" customHeight="1">
      <c r="A2522" s="204" t="str">
        <f>IF(B2522&lt;&gt;"",IF(AND(B2522&gt;=_TM1,B2522&lt;=_TM2,OR(TH!L2522="1111",TH!M2522="1111")),TH!D2522,""),"")</f>
        <v/>
      </c>
      <c r="B2522" s="732">
        <f t="shared" si="142"/>
        <v>4</v>
      </c>
      <c r="C2522" s="48">
        <f t="shared" si="145"/>
        <v>41025</v>
      </c>
      <c r="D2522" s="48" t="s">
        <v>1737</v>
      </c>
      <c r="E2522" s="920">
        <v>41025</v>
      </c>
      <c r="F2522" s="49" t="s">
        <v>1484</v>
      </c>
      <c r="G2522" s="49" t="s">
        <v>1566</v>
      </c>
      <c r="H2522" s="909" t="s">
        <v>1705</v>
      </c>
      <c r="I2522" s="250">
        <v>150</v>
      </c>
      <c r="J2522" s="250">
        <v>29156.04</v>
      </c>
      <c r="K2522" s="51">
        <f t="shared" si="144"/>
        <v>4373406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s="849" customFormat="1" ht="15.75" customHeight="1">
      <c r="A2523" s="204" t="str">
        <f>IF(B2523&lt;&gt;"",IF(AND(B2523&gt;=_TM1,B2523&lt;=_TM2,OR(TH!L2523="1111",TH!M2523="1111")),TH!D2523,""),"")</f>
        <v/>
      </c>
      <c r="B2523" s="732">
        <f t="shared" si="142"/>
        <v>4</v>
      </c>
      <c r="C2523" s="48">
        <f t="shared" si="145"/>
        <v>41025</v>
      </c>
      <c r="D2523" s="48" t="s">
        <v>1737</v>
      </c>
      <c r="E2523" s="920">
        <v>41025</v>
      </c>
      <c r="F2523" s="49" t="s">
        <v>1485</v>
      </c>
      <c r="G2523" s="49" t="s">
        <v>1566</v>
      </c>
      <c r="H2523" s="909" t="s">
        <v>1705</v>
      </c>
      <c r="I2523" s="250">
        <v>240</v>
      </c>
      <c r="J2523" s="250">
        <v>3726.0416666666665</v>
      </c>
      <c r="K2523" s="51">
        <f t="shared" si="144"/>
        <v>894250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s="849" customFormat="1" ht="15.75" customHeight="1">
      <c r="A2524" s="204" t="str">
        <f>IF(B2524&lt;&gt;"",IF(AND(B2524&gt;=_TM1,B2524&lt;=_TM2,OR(TH!L2524="1111",TH!M2524="1111")),TH!D2524,""),"")</f>
        <v/>
      </c>
      <c r="B2524" s="732">
        <f t="shared" si="142"/>
        <v>4</v>
      </c>
      <c r="C2524" s="48">
        <f t="shared" si="145"/>
        <v>41025</v>
      </c>
      <c r="D2524" s="48" t="s">
        <v>1737</v>
      </c>
      <c r="E2524" s="920">
        <v>41025</v>
      </c>
      <c r="F2524" s="49" t="s">
        <v>1112</v>
      </c>
      <c r="G2524" s="49" t="s">
        <v>1566</v>
      </c>
      <c r="H2524" s="909" t="s">
        <v>1705</v>
      </c>
      <c r="I2524" s="250">
        <v>4096</v>
      </c>
      <c r="J2524" s="250">
        <v>1322.947509765625</v>
      </c>
      <c r="K2524" s="51">
        <f t="shared" si="144"/>
        <v>5418793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s="849" customFormat="1" ht="15.75" customHeight="1">
      <c r="A2525" s="204" t="str">
        <f>IF(B2525&lt;&gt;"",IF(AND(B2525&gt;=_TM1,B2525&lt;=_TM2,OR(TH!L2525="1111",TH!M2525="1111")),TH!D2525,""),"")</f>
        <v/>
      </c>
      <c r="B2525" s="732">
        <f t="shared" si="142"/>
        <v>4</v>
      </c>
      <c r="C2525" s="48">
        <f t="shared" si="145"/>
        <v>41025</v>
      </c>
      <c r="D2525" s="48" t="s">
        <v>1737</v>
      </c>
      <c r="E2525" s="920">
        <v>41025</v>
      </c>
      <c r="F2525" s="49" t="s">
        <v>1535</v>
      </c>
      <c r="G2525" s="49" t="s">
        <v>1010</v>
      </c>
      <c r="H2525" s="909" t="s">
        <v>1705</v>
      </c>
      <c r="I2525" s="250">
        <v>250</v>
      </c>
      <c r="J2525" s="250">
        <v>15631.04</v>
      </c>
      <c r="K2525" s="51">
        <f t="shared" si="144"/>
        <v>3907760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s="849" customFormat="1" ht="15.75" customHeight="1">
      <c r="A2526" s="204" t="str">
        <f>IF(B2526&lt;&gt;"",IF(AND(B2526&gt;=_TM1,B2526&lt;=_TM2,OR(TH!L2526="1111",TH!M2526="1111")),TH!D2526,""),"")</f>
        <v/>
      </c>
      <c r="B2526" s="732">
        <f t="shared" si="142"/>
        <v>4</v>
      </c>
      <c r="C2526" s="48">
        <f t="shared" si="145"/>
        <v>41025</v>
      </c>
      <c r="D2526" s="48" t="s">
        <v>1737</v>
      </c>
      <c r="E2526" s="920">
        <v>41025</v>
      </c>
      <c r="F2526" s="49" t="s">
        <v>1496</v>
      </c>
      <c r="G2526" s="49" t="s">
        <v>1010</v>
      </c>
      <c r="H2526" s="909" t="s">
        <v>1705</v>
      </c>
      <c r="I2526" s="250">
        <v>450</v>
      </c>
      <c r="J2526" s="250">
        <v>12505.15111111111</v>
      </c>
      <c r="K2526" s="51">
        <f t="shared" si="144"/>
        <v>5627318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s="849" customFormat="1" ht="15.75" customHeight="1">
      <c r="A2527" s="204" t="str">
        <f>IF(B2527&lt;&gt;"",IF(AND(B2527&gt;=_TM1,B2527&lt;=_TM2,OR(TH!L2527="1111",TH!M2527="1111")),TH!D2527,""),"")</f>
        <v/>
      </c>
      <c r="B2527" s="732">
        <f t="shared" si="142"/>
        <v>4</v>
      </c>
      <c r="C2527" s="48">
        <f t="shared" si="145"/>
        <v>41025</v>
      </c>
      <c r="D2527" s="48" t="s">
        <v>1737</v>
      </c>
      <c r="E2527" s="920">
        <v>41025</v>
      </c>
      <c r="F2527" s="49" t="s">
        <v>1510</v>
      </c>
      <c r="G2527" s="49" t="s">
        <v>1010</v>
      </c>
      <c r="H2527" s="909" t="s">
        <v>1705</v>
      </c>
      <c r="I2527" s="250">
        <v>330</v>
      </c>
      <c r="J2527" s="250">
        <v>14831.31212121212</v>
      </c>
      <c r="K2527" s="51">
        <f t="shared" si="144"/>
        <v>4894333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s="849" customFormat="1" ht="15.75" customHeight="1">
      <c r="A2528" s="204" t="str">
        <f>IF(B2528&lt;&gt;"",IF(AND(B2528&gt;=_TM1,B2528&lt;=_TM2,OR(TH!L2528="1111",TH!M2528="1111")),TH!D2528,""),"")</f>
        <v/>
      </c>
      <c r="B2528" s="732">
        <f t="shared" si="142"/>
        <v>4</v>
      </c>
      <c r="C2528" s="48">
        <f t="shared" si="145"/>
        <v>41025</v>
      </c>
      <c r="D2528" s="48" t="s">
        <v>1737</v>
      </c>
      <c r="E2528" s="920">
        <v>41025</v>
      </c>
      <c r="F2528" s="49" t="s">
        <v>1526</v>
      </c>
      <c r="G2528" s="49" t="s">
        <v>1010</v>
      </c>
      <c r="H2528" s="909" t="s">
        <v>1705</v>
      </c>
      <c r="I2528" s="250">
        <v>220</v>
      </c>
      <c r="J2528" s="250">
        <v>15784.022727272728</v>
      </c>
      <c r="K2528" s="51">
        <f t="shared" si="144"/>
        <v>3472485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s="849" customFormat="1" ht="15.75" customHeight="1">
      <c r="A2529" s="204" t="str">
        <f>IF(B2529&lt;&gt;"",IF(AND(B2529&gt;=_TM1,B2529&lt;=_TM2,OR(TH!L2529="1111",TH!M2529="1111")),TH!D2529,""),"")</f>
        <v/>
      </c>
      <c r="B2529" s="732">
        <f t="shared" si="142"/>
        <v>4</v>
      </c>
      <c r="C2529" s="48">
        <f t="shared" si="145"/>
        <v>41025</v>
      </c>
      <c r="D2529" s="48" t="s">
        <v>1737</v>
      </c>
      <c r="E2529" s="920">
        <v>41025</v>
      </c>
      <c r="F2529" s="49" t="s">
        <v>1538</v>
      </c>
      <c r="G2529" s="49" t="s">
        <v>1010</v>
      </c>
      <c r="H2529" s="909" t="s">
        <v>1705</v>
      </c>
      <c r="I2529" s="250">
        <v>486</v>
      </c>
      <c r="J2529" s="250">
        <v>18486.493827160495</v>
      </c>
      <c r="K2529" s="51">
        <f t="shared" si="144"/>
        <v>8984436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s="849" customFormat="1" ht="15.75" customHeight="1">
      <c r="A2530" s="204" t="str">
        <f>IF(B2530&lt;&gt;"",IF(AND(B2530&gt;=_TM1,B2530&lt;=_TM2,OR(TH!L2530="1111",TH!M2530="1111")),TH!D2530,""),"")</f>
        <v/>
      </c>
      <c r="B2530" s="732">
        <f t="shared" si="142"/>
        <v>4</v>
      </c>
      <c r="C2530" s="48">
        <f t="shared" si="145"/>
        <v>41025</v>
      </c>
      <c r="D2530" s="48" t="s">
        <v>1737</v>
      </c>
      <c r="E2530" s="920">
        <v>41025</v>
      </c>
      <c r="F2530" s="49" t="s">
        <v>1513</v>
      </c>
      <c r="G2530" s="49" t="s">
        <v>1010</v>
      </c>
      <c r="H2530" s="909" t="s">
        <v>1705</v>
      </c>
      <c r="I2530" s="250">
        <v>391</v>
      </c>
      <c r="J2530" s="250">
        <v>15979.826086956522</v>
      </c>
      <c r="K2530" s="51">
        <f t="shared" si="144"/>
        <v>6248112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s="849" customFormat="1" ht="15.75" customHeight="1">
      <c r="A2531" s="204" t="str">
        <f>IF(B2531&lt;&gt;"",IF(AND(B2531&gt;=_TM1,B2531&lt;=_TM2,OR(TH!L2531="1111",TH!M2531="1111")),TH!D2531,""),"")</f>
        <v/>
      </c>
      <c r="B2531" s="732">
        <f t="shared" si="142"/>
        <v>4</v>
      </c>
      <c r="C2531" s="48">
        <f t="shared" si="145"/>
        <v>41025</v>
      </c>
      <c r="D2531" s="48" t="s">
        <v>1737</v>
      </c>
      <c r="E2531" s="920">
        <v>41025</v>
      </c>
      <c r="F2531" s="49" t="s">
        <v>1532</v>
      </c>
      <c r="G2531" s="49" t="s">
        <v>1010</v>
      </c>
      <c r="H2531" s="909" t="s">
        <v>1705</v>
      </c>
      <c r="I2531" s="250">
        <v>339</v>
      </c>
      <c r="J2531" s="250">
        <v>25315.421828908555</v>
      </c>
      <c r="K2531" s="51">
        <f t="shared" si="144"/>
        <v>8581928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s="849" customFormat="1" ht="15.75" customHeight="1">
      <c r="A2532" s="204" t="str">
        <f>IF(B2532&lt;&gt;"",IF(AND(B2532&gt;=_TM1,B2532&lt;=_TM2,OR(TH!L2532="1111",TH!M2532="1111")),TH!D2532,""),"")</f>
        <v/>
      </c>
      <c r="B2532" s="732">
        <f t="shared" si="142"/>
        <v>4</v>
      </c>
      <c r="C2532" s="48">
        <f t="shared" si="145"/>
        <v>41025</v>
      </c>
      <c r="D2532" s="48" t="s">
        <v>1737</v>
      </c>
      <c r="E2532" s="920">
        <v>41025</v>
      </c>
      <c r="F2532" s="49" t="s">
        <v>1516</v>
      </c>
      <c r="G2532" s="49" t="s">
        <v>1010</v>
      </c>
      <c r="H2532" s="909" t="s">
        <v>1705</v>
      </c>
      <c r="I2532" s="250">
        <v>366</v>
      </c>
      <c r="J2532" s="250">
        <v>18978.040983606559</v>
      </c>
      <c r="K2532" s="51">
        <f t="shared" si="144"/>
        <v>6945963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s="849" customFormat="1" ht="15.75" customHeight="1">
      <c r="A2533" s="204" t="str">
        <f>IF(B2533&lt;&gt;"",IF(AND(B2533&gt;=_TM1,B2533&lt;=_TM2,OR(TH!L2533="1111",TH!M2533="1111")),TH!D2533,""),"")</f>
        <v/>
      </c>
      <c r="B2533" s="732">
        <f t="shared" si="142"/>
        <v>4</v>
      </c>
      <c r="C2533" s="48">
        <f t="shared" si="145"/>
        <v>41025</v>
      </c>
      <c r="D2533" s="48" t="s">
        <v>1737</v>
      </c>
      <c r="E2533" s="920">
        <v>41025</v>
      </c>
      <c r="F2533" s="49" t="s">
        <v>1523</v>
      </c>
      <c r="G2533" s="49" t="s">
        <v>1010</v>
      </c>
      <c r="H2533" s="909" t="s">
        <v>1705</v>
      </c>
      <c r="I2533" s="250">
        <v>265</v>
      </c>
      <c r="J2533" s="250">
        <v>12690.686792452831</v>
      </c>
      <c r="K2533" s="51">
        <f t="shared" si="144"/>
        <v>3363032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s="849" customFormat="1" ht="15.75" customHeight="1">
      <c r="A2534" s="204" t="str">
        <f>IF(B2534&lt;&gt;"",IF(AND(B2534&gt;=_TM1,B2534&lt;=_TM2,OR(TH!L2534="1111",TH!M2534="1111")),TH!D2534,""),"")</f>
        <v/>
      </c>
      <c r="B2534" s="732">
        <f t="shared" si="142"/>
        <v>4</v>
      </c>
      <c r="C2534" s="48">
        <f t="shared" si="145"/>
        <v>41025</v>
      </c>
      <c r="D2534" s="48" t="s">
        <v>1737</v>
      </c>
      <c r="E2534" s="920">
        <v>41025</v>
      </c>
      <c r="F2534" s="49" t="s">
        <v>1524</v>
      </c>
      <c r="G2534" s="49" t="s">
        <v>1010</v>
      </c>
      <c r="H2534" s="909" t="s">
        <v>1705</v>
      </c>
      <c r="I2534" s="250">
        <v>460</v>
      </c>
      <c r="J2534" s="250">
        <v>21410.702173913043</v>
      </c>
      <c r="K2534" s="51">
        <f t="shared" si="144"/>
        <v>9848923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s="849" customFormat="1" ht="15.75" customHeight="1">
      <c r="A2535" s="204" t="str">
        <f>IF(B2535&lt;&gt;"",IF(AND(B2535&gt;=_TM1,B2535&lt;=_TM2,OR(TH!L2535="1111",TH!M2535="1111")),TH!D2535,""),"")</f>
        <v/>
      </c>
      <c r="B2535" s="732">
        <f t="shared" si="142"/>
        <v>4</v>
      </c>
      <c r="C2535" s="48">
        <f t="shared" si="145"/>
        <v>41028</v>
      </c>
      <c r="D2535" s="48" t="s">
        <v>1737</v>
      </c>
      <c r="E2535" s="920">
        <v>41028</v>
      </c>
      <c r="F2535" s="49" t="s">
        <v>1546</v>
      </c>
      <c r="G2535" s="49" t="s">
        <v>1568</v>
      </c>
      <c r="H2535" s="909" t="s">
        <v>1705</v>
      </c>
      <c r="I2535" s="250">
        <v>250</v>
      </c>
      <c r="J2535" s="250">
        <v>19929.04</v>
      </c>
      <c r="K2535" s="51">
        <f t="shared" si="144"/>
        <v>4982260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s="849" customFormat="1" ht="15.75" customHeight="1">
      <c r="A2536" s="204" t="str">
        <f>IF(B2536&lt;&gt;"",IF(AND(B2536&gt;=_TM1,B2536&lt;=_TM2,OR(TH!L2536="1111",TH!M2536="1111")),TH!D2536,""),"")</f>
        <v/>
      </c>
      <c r="B2536" s="732">
        <f t="shared" si="142"/>
        <v>4</v>
      </c>
      <c r="C2536" s="48">
        <f t="shared" si="145"/>
        <v>41028</v>
      </c>
      <c r="D2536" s="48" t="s">
        <v>1737</v>
      </c>
      <c r="E2536" s="920">
        <v>41028</v>
      </c>
      <c r="F2536" s="49" t="s">
        <v>1515</v>
      </c>
      <c r="G2536" s="49" t="s">
        <v>1568</v>
      </c>
      <c r="H2536" s="909" t="s">
        <v>1705</v>
      </c>
      <c r="I2536" s="250">
        <v>450</v>
      </c>
      <c r="J2536" s="250">
        <v>10780.706666666667</v>
      </c>
      <c r="K2536" s="51">
        <f t="shared" si="144"/>
        <v>4851318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s="849" customFormat="1" ht="15.75" customHeight="1">
      <c r="A2537" s="204" t="str">
        <f>IF(B2537&lt;&gt;"",IF(AND(B2537&gt;=_TM1,B2537&lt;=_TM2,OR(TH!L2537="1111",TH!M2537="1111")),TH!D2537,""),"")</f>
        <v/>
      </c>
      <c r="B2537" s="732">
        <f t="shared" ref="B2537:B2557" si="146">IF(C2537&lt;&gt;"",MONTH(C2537),"")</f>
        <v>4</v>
      </c>
      <c r="C2537" s="48">
        <f t="shared" si="145"/>
        <v>41028</v>
      </c>
      <c r="D2537" s="48" t="s">
        <v>1737</v>
      </c>
      <c r="E2537" s="920">
        <v>41028</v>
      </c>
      <c r="F2537" s="49" t="s">
        <v>1540</v>
      </c>
      <c r="G2537" s="49" t="s">
        <v>1568</v>
      </c>
      <c r="H2537" s="909" t="s">
        <v>1705</v>
      </c>
      <c r="I2537" s="250">
        <v>180</v>
      </c>
      <c r="J2537" s="250">
        <v>10937.705555555556</v>
      </c>
      <c r="K2537" s="51">
        <f t="shared" si="144"/>
        <v>1968787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s="849" customFormat="1" ht="15.75" customHeight="1">
      <c r="A2538" s="204" t="str">
        <f>IF(B2538&lt;&gt;"",IF(AND(B2538&gt;=_TM1,B2538&lt;=_TM2,OR(TH!L2538="1111",TH!M2538="1111")),TH!D2538,""),"")</f>
        <v/>
      </c>
      <c r="B2538" s="732">
        <f t="shared" si="146"/>
        <v>4</v>
      </c>
      <c r="C2538" s="48">
        <f t="shared" si="145"/>
        <v>41028</v>
      </c>
      <c r="D2538" s="48" t="s">
        <v>1737</v>
      </c>
      <c r="E2538" s="920">
        <v>41028</v>
      </c>
      <c r="F2538" s="49" t="s">
        <v>1515</v>
      </c>
      <c r="G2538" s="49" t="s">
        <v>1568</v>
      </c>
      <c r="H2538" s="909" t="s">
        <v>1705</v>
      </c>
      <c r="I2538" s="250">
        <v>879</v>
      </c>
      <c r="J2538" s="250">
        <v>12031.040955631399</v>
      </c>
      <c r="K2538" s="51">
        <f t="shared" si="144"/>
        <v>10575285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s="849" customFormat="1" ht="15.75" customHeight="1">
      <c r="A2539" s="204" t="str">
        <f>IF(B2539&lt;&gt;"",IF(AND(B2539&gt;=_TM1,B2539&lt;=_TM2,OR(TH!L2539="1111",TH!M2539="1111")),TH!D2539,""),"")</f>
        <v/>
      </c>
      <c r="B2539" s="732">
        <f t="shared" si="146"/>
        <v>4</v>
      </c>
      <c r="C2539" s="48">
        <f t="shared" si="145"/>
        <v>41028</v>
      </c>
      <c r="D2539" s="48" t="s">
        <v>1737</v>
      </c>
      <c r="E2539" s="920">
        <v>41028</v>
      </c>
      <c r="F2539" s="49" t="s">
        <v>1542</v>
      </c>
      <c r="G2539" s="49" t="s">
        <v>1568</v>
      </c>
      <c r="H2539" s="909" t="s">
        <v>1705</v>
      </c>
      <c r="I2539" s="250">
        <v>506</v>
      </c>
      <c r="J2539" s="250">
        <v>12031.041501976284</v>
      </c>
      <c r="K2539" s="51">
        <f t="shared" si="144"/>
        <v>6087707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s="849" customFormat="1" ht="15.75" customHeight="1">
      <c r="A2540" s="204" t="str">
        <f>IF(B2540&lt;&gt;"",IF(AND(B2540&gt;=_TM1,B2540&lt;=_TM2,OR(TH!L2540="1111",TH!M2540="1111")),TH!D2540,""),"")</f>
        <v/>
      </c>
      <c r="B2540" s="732">
        <f t="shared" si="146"/>
        <v>4</v>
      </c>
      <c r="C2540" s="48">
        <f t="shared" si="145"/>
        <v>41028</v>
      </c>
      <c r="D2540" s="48" t="s">
        <v>1737</v>
      </c>
      <c r="E2540" s="920">
        <v>41028</v>
      </c>
      <c r="F2540" s="49" t="s">
        <v>1543</v>
      </c>
      <c r="G2540" s="49" t="s">
        <v>1568</v>
      </c>
      <c r="H2540" s="909" t="s">
        <v>1705</v>
      </c>
      <c r="I2540" s="250">
        <v>793</v>
      </c>
      <c r="J2540" s="250">
        <v>12773.390920554855</v>
      </c>
      <c r="K2540" s="51">
        <f t="shared" si="144"/>
        <v>10129299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s="849" customFormat="1" ht="15.75" customHeight="1">
      <c r="A2541" s="204" t="str">
        <f>IF(B2541&lt;&gt;"",IF(AND(B2541&gt;=_TM1,B2541&lt;=_TM2,OR(TH!L2541="1111",TH!M2541="1111")),TH!D2541,""),"")</f>
        <v/>
      </c>
      <c r="B2541" s="732">
        <f t="shared" si="146"/>
        <v>4</v>
      </c>
      <c r="C2541" s="48">
        <f t="shared" si="145"/>
        <v>41028</v>
      </c>
      <c r="D2541" s="48" t="s">
        <v>1737</v>
      </c>
      <c r="E2541" s="920">
        <v>41028</v>
      </c>
      <c r="F2541" s="49" t="s">
        <v>1544</v>
      </c>
      <c r="G2541" s="49" t="s">
        <v>1568</v>
      </c>
      <c r="H2541" s="909" t="s">
        <v>1705</v>
      </c>
      <c r="I2541" s="250">
        <v>860</v>
      </c>
      <c r="J2541" s="250">
        <v>16297.941860465116</v>
      </c>
      <c r="K2541" s="51">
        <f t="shared" si="144"/>
        <v>14016230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s="849" customFormat="1" ht="15.75" customHeight="1">
      <c r="A2542" s="204" t="str">
        <f>IF(B2542&lt;&gt;"",IF(AND(B2542&gt;=_TM1,B2542&lt;=_TM2,OR(TH!L2542="1111",TH!M2542="1111")),TH!D2542,""),"")</f>
        <v/>
      </c>
      <c r="B2542" s="732">
        <f t="shared" si="146"/>
        <v>4</v>
      </c>
      <c r="C2542" s="48">
        <f t="shared" si="145"/>
        <v>41028</v>
      </c>
      <c r="D2542" s="48" t="s">
        <v>1737</v>
      </c>
      <c r="E2542" s="920">
        <v>41028</v>
      </c>
      <c r="F2542" s="49" t="s">
        <v>1545</v>
      </c>
      <c r="G2542" s="49" t="s">
        <v>1568</v>
      </c>
      <c r="H2542" s="909" t="s">
        <v>1705</v>
      </c>
      <c r="I2542" s="250">
        <v>356</v>
      </c>
      <c r="J2542" s="250">
        <v>11630.042134831461</v>
      </c>
      <c r="K2542" s="51">
        <f t="shared" si="144"/>
        <v>4140295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s="849" customFormat="1" ht="15.75" customHeight="1">
      <c r="A2543" s="204" t="str">
        <f>IF(B2543&lt;&gt;"",IF(AND(B2543&gt;=_TM1,B2543&lt;=_TM2,OR(TH!L2543="1111",TH!M2543="1111")),TH!D2543,""),"")</f>
        <v/>
      </c>
      <c r="B2543" s="732">
        <f t="shared" si="146"/>
        <v>4</v>
      </c>
      <c r="C2543" s="48">
        <f t="shared" si="145"/>
        <v>41028</v>
      </c>
      <c r="D2543" s="48" t="s">
        <v>1737</v>
      </c>
      <c r="E2543" s="920">
        <v>41028</v>
      </c>
      <c r="F2543" s="49" t="s">
        <v>1542</v>
      </c>
      <c r="G2543" s="49" t="s">
        <v>1568</v>
      </c>
      <c r="H2543" s="909" t="s">
        <v>1705</v>
      </c>
      <c r="I2543" s="250">
        <v>350</v>
      </c>
      <c r="J2543" s="250">
        <v>12031.04</v>
      </c>
      <c r="K2543" s="51">
        <f t="shared" si="144"/>
        <v>4210864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s="849" customFormat="1" ht="15.75" customHeight="1">
      <c r="A2544" s="204" t="str">
        <f>IF(B2544&lt;&gt;"",IF(AND(B2544&gt;=_TM1,B2544&lt;=_TM2,OR(TH!L2544="1111",TH!M2544="1111")),TH!D2544,""),"")</f>
        <v/>
      </c>
      <c r="B2544" s="732">
        <f t="shared" si="146"/>
        <v>4</v>
      </c>
      <c r="C2544" s="48">
        <f t="shared" si="145"/>
        <v>41028</v>
      </c>
      <c r="D2544" s="48" t="s">
        <v>1737</v>
      </c>
      <c r="E2544" s="920">
        <v>41028</v>
      </c>
      <c r="F2544" s="49" t="s">
        <v>1543</v>
      </c>
      <c r="G2544" s="49" t="s">
        <v>1568</v>
      </c>
      <c r="H2544" s="909" t="s">
        <v>1705</v>
      </c>
      <c r="I2544" s="250">
        <v>452</v>
      </c>
      <c r="J2544" s="250">
        <v>12755.778761061947</v>
      </c>
      <c r="K2544" s="51">
        <f t="shared" si="144"/>
        <v>5765612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s="849" customFormat="1" ht="15.75" customHeight="1">
      <c r="A2545" s="204" t="str">
        <f>IF(B2545&lt;&gt;"",IF(AND(B2545&gt;=_TM1,B2545&lt;=_TM2,OR(TH!L2545="1111",TH!M2545="1111")),TH!D2545,""),"")</f>
        <v/>
      </c>
      <c r="B2545" s="732">
        <f t="shared" si="146"/>
        <v>4</v>
      </c>
      <c r="C2545" s="48">
        <f t="shared" si="145"/>
        <v>41028</v>
      </c>
      <c r="D2545" s="48" t="s">
        <v>1737</v>
      </c>
      <c r="E2545" s="920">
        <v>41028</v>
      </c>
      <c r="F2545" s="49" t="s">
        <v>1544</v>
      </c>
      <c r="G2545" s="49" t="s">
        <v>1568</v>
      </c>
      <c r="H2545" s="909" t="s">
        <v>1705</v>
      </c>
      <c r="I2545" s="250">
        <v>972</v>
      </c>
      <c r="J2545" s="250">
        <v>16297.942386831275</v>
      </c>
      <c r="K2545" s="51">
        <f t="shared" si="144"/>
        <v>15841600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s="849" customFormat="1" ht="15.75" customHeight="1">
      <c r="A2546" s="204" t="str">
        <f>IF(B2546&lt;&gt;"",IF(AND(B2546&gt;=_TM1,B2546&lt;=_TM2,OR(TH!L2546="1111",TH!M2546="1111")),TH!D2546,""),"")</f>
        <v/>
      </c>
      <c r="B2546" s="732">
        <f t="shared" si="146"/>
        <v>5</v>
      </c>
      <c r="C2546" s="48">
        <f t="shared" si="145"/>
        <v>41031</v>
      </c>
      <c r="D2546" s="48" t="s">
        <v>1737</v>
      </c>
      <c r="E2546" s="920">
        <v>41031</v>
      </c>
      <c r="F2546" s="49" t="s">
        <v>1207</v>
      </c>
      <c r="G2546" s="49" t="s">
        <v>980</v>
      </c>
      <c r="H2546" s="909" t="s">
        <v>1705</v>
      </c>
      <c r="I2546" s="250">
        <v>200</v>
      </c>
      <c r="J2546" s="250">
        <v>18323.04</v>
      </c>
      <c r="K2546" s="51">
        <f t="shared" si="144"/>
        <v>3664608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s="849" customFormat="1" ht="15.75" customHeight="1">
      <c r="A2547" s="204" t="str">
        <f>IF(B2547&lt;&gt;"",IF(AND(B2547&gt;=_TM1,B2547&lt;=_TM2,OR(TH!L2547="1111",TH!M2547="1111")),TH!D2547,""),"")</f>
        <v/>
      </c>
      <c r="B2547" s="732">
        <f t="shared" si="146"/>
        <v>5</v>
      </c>
      <c r="C2547" s="48">
        <f t="shared" si="145"/>
        <v>41031</v>
      </c>
      <c r="D2547" s="48" t="s">
        <v>1737</v>
      </c>
      <c r="E2547" s="920">
        <v>41031</v>
      </c>
      <c r="F2547" s="49" t="s">
        <v>1232</v>
      </c>
      <c r="G2547" s="49" t="s">
        <v>980</v>
      </c>
      <c r="H2547" s="909" t="s">
        <v>1705</v>
      </c>
      <c r="I2547" s="250">
        <v>100</v>
      </c>
      <c r="J2547" s="250">
        <v>13251.49</v>
      </c>
      <c r="K2547" s="51">
        <f t="shared" si="144"/>
        <v>1325149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s="849" customFormat="1" ht="15.75" customHeight="1">
      <c r="A2548" s="204" t="str">
        <f>IF(B2548&lt;&gt;"",IF(AND(B2548&gt;=_TM1,B2548&lt;=_TM2,OR(TH!L2548="1111",TH!M2548="1111")),TH!D2548,""),"")</f>
        <v/>
      </c>
      <c r="B2548" s="732">
        <f t="shared" si="146"/>
        <v>5</v>
      </c>
      <c r="C2548" s="48">
        <f t="shared" si="145"/>
        <v>41032</v>
      </c>
      <c r="D2548" s="48" t="s">
        <v>1737</v>
      </c>
      <c r="E2548" s="920">
        <v>41032</v>
      </c>
      <c r="F2548" s="49" t="s">
        <v>1206</v>
      </c>
      <c r="G2548" s="49" t="s">
        <v>982</v>
      </c>
      <c r="H2548" s="909" t="s">
        <v>1705</v>
      </c>
      <c r="I2548" s="250">
        <v>317</v>
      </c>
      <c r="J2548" s="250">
        <v>14421.466876971608</v>
      </c>
      <c r="K2548" s="51">
        <f t="shared" si="144"/>
        <v>4571605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s="849" customFormat="1" ht="15.75" customHeight="1">
      <c r="A2549" s="204" t="str">
        <f>IF(B2549&lt;&gt;"",IF(AND(B2549&gt;=_TM1,B2549&lt;=_TM2,OR(TH!L2549="1111",TH!M2549="1111")),TH!D2549,""),"")</f>
        <v/>
      </c>
      <c r="B2549" s="732">
        <f t="shared" si="146"/>
        <v>5</v>
      </c>
      <c r="C2549" s="48">
        <f t="shared" si="145"/>
        <v>41033</v>
      </c>
      <c r="D2549" s="48" t="s">
        <v>1737</v>
      </c>
      <c r="E2549" s="920">
        <v>41033</v>
      </c>
      <c r="F2549" s="49" t="s">
        <v>1149</v>
      </c>
      <c r="G2549" s="49" t="s">
        <v>983</v>
      </c>
      <c r="H2549" s="909" t="s">
        <v>1705</v>
      </c>
      <c r="I2549" s="250">
        <v>305</v>
      </c>
      <c r="J2549" s="250">
        <v>2154.5639344262295</v>
      </c>
      <c r="K2549" s="51">
        <f t="shared" si="144"/>
        <v>657142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s="849" customFormat="1" ht="15.75" customHeight="1">
      <c r="A2550" s="204" t="str">
        <f>IF(B2550&lt;&gt;"",IF(AND(B2550&gt;=_TM1,B2550&lt;=_TM2,OR(TH!L2550="1111",TH!M2550="1111")),TH!D2550,""),"")</f>
        <v/>
      </c>
      <c r="B2550" s="732">
        <f t="shared" si="146"/>
        <v>5</v>
      </c>
      <c r="C2550" s="48">
        <f t="shared" si="145"/>
        <v>41033</v>
      </c>
      <c r="D2550" s="48" t="s">
        <v>1737</v>
      </c>
      <c r="E2550" s="920">
        <v>41033</v>
      </c>
      <c r="F2550" s="49" t="s">
        <v>1205</v>
      </c>
      <c r="G2550" s="49" t="s">
        <v>983</v>
      </c>
      <c r="H2550" s="909" t="s">
        <v>1705</v>
      </c>
      <c r="I2550" s="250">
        <v>188</v>
      </c>
      <c r="J2550" s="250">
        <v>12858.170212765957</v>
      </c>
      <c r="K2550" s="51">
        <f t="shared" si="144"/>
        <v>2417336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s="849" customFormat="1" ht="15.75" customHeight="1">
      <c r="A2551" s="204" t="str">
        <f>IF(B2551&lt;&gt;"",IF(AND(B2551&gt;=_TM1,B2551&lt;=_TM2,OR(TH!L2551="1111",TH!M2551="1111")),TH!D2551,""),"")</f>
        <v/>
      </c>
      <c r="B2551" s="732">
        <f t="shared" si="146"/>
        <v>5</v>
      </c>
      <c r="C2551" s="48">
        <f t="shared" si="145"/>
        <v>41033</v>
      </c>
      <c r="D2551" s="48" t="s">
        <v>1737</v>
      </c>
      <c r="E2551" s="920">
        <v>41033</v>
      </c>
      <c r="F2551" s="49" t="s">
        <v>1137</v>
      </c>
      <c r="G2551" s="49" t="s">
        <v>984</v>
      </c>
      <c r="H2551" s="909" t="s">
        <v>1705</v>
      </c>
      <c r="I2551" s="250">
        <v>897</v>
      </c>
      <c r="J2551" s="250">
        <v>5641.3255295429208</v>
      </c>
      <c r="K2551" s="51">
        <f t="shared" si="144"/>
        <v>5060269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s="849" customFormat="1" ht="15.75" customHeight="1">
      <c r="A2552" s="204" t="str">
        <f>IF(B2552&lt;&gt;"",IF(AND(B2552&gt;=_TM1,B2552&lt;=_TM2,OR(TH!L2552="1111",TH!M2552="1111")),TH!D2552,""),"")</f>
        <v/>
      </c>
      <c r="B2552" s="732">
        <f t="shared" si="146"/>
        <v>5</v>
      </c>
      <c r="C2552" s="48">
        <f t="shared" si="145"/>
        <v>41033</v>
      </c>
      <c r="D2552" s="48" t="s">
        <v>1737</v>
      </c>
      <c r="E2552" s="920">
        <v>41033</v>
      </c>
      <c r="F2552" s="49" t="s">
        <v>1204</v>
      </c>
      <c r="G2552" s="49" t="s">
        <v>984</v>
      </c>
      <c r="H2552" s="909" t="s">
        <v>1705</v>
      </c>
      <c r="I2552" s="250">
        <v>287</v>
      </c>
      <c r="J2552" s="250">
        <v>7352.1045296167249</v>
      </c>
      <c r="K2552" s="51">
        <f t="shared" si="144"/>
        <v>2110054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s="849" customFormat="1" ht="15.75" customHeight="1">
      <c r="A2553" s="204" t="str">
        <f>IF(B2553&lt;&gt;"",IF(AND(B2553&gt;=_TM1,B2553&lt;=_TM2,OR(TH!L2553="1111",TH!M2553="1111")),TH!D2553,""),"")</f>
        <v/>
      </c>
      <c r="B2553" s="732">
        <f t="shared" si="146"/>
        <v>5</v>
      </c>
      <c r="C2553" s="48">
        <f t="shared" si="145"/>
        <v>41033</v>
      </c>
      <c r="D2553" s="48" t="s">
        <v>1737</v>
      </c>
      <c r="E2553" s="920">
        <v>41033</v>
      </c>
      <c r="F2553" s="49" t="s">
        <v>1203</v>
      </c>
      <c r="G2553" s="49" t="s">
        <v>984</v>
      </c>
      <c r="H2553" s="909" t="s">
        <v>1705</v>
      </c>
      <c r="I2553" s="250">
        <v>254</v>
      </c>
      <c r="J2553" s="250">
        <v>11630.039370078741</v>
      </c>
      <c r="K2553" s="51">
        <f t="shared" si="144"/>
        <v>2954030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s="849" customFormat="1" ht="15.75" customHeight="1">
      <c r="A2554" s="204" t="str">
        <f>IF(B2554&lt;&gt;"",IF(AND(B2554&gt;=_TM1,B2554&lt;=_TM2,OR(TH!L2554="1111",TH!M2554="1111")),TH!D2554,""),"")</f>
        <v/>
      </c>
      <c r="B2554" s="732">
        <f t="shared" si="146"/>
        <v>5</v>
      </c>
      <c r="C2554" s="48">
        <f t="shared" si="145"/>
        <v>41033</v>
      </c>
      <c r="D2554" s="48" t="s">
        <v>1737</v>
      </c>
      <c r="E2554" s="920">
        <v>41033</v>
      </c>
      <c r="F2554" s="921" t="s">
        <v>1136</v>
      </c>
      <c r="G2554" s="49" t="s">
        <v>984</v>
      </c>
      <c r="H2554" s="909" t="s">
        <v>1705</v>
      </c>
      <c r="I2554" s="250">
        <v>297</v>
      </c>
      <c r="J2554" s="250">
        <v>7741.4646464646466</v>
      </c>
      <c r="K2554" s="51">
        <f t="shared" si="144"/>
        <v>2299215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s="849" customFormat="1" ht="15.75" customHeight="1">
      <c r="A2555" s="204" t="str">
        <f>IF(B2555&lt;&gt;"",IF(AND(B2555&gt;=_TM1,B2555&lt;=_TM2,OR(TH!L2555="1111",TH!M2555="1111")),TH!D2555,""),"")</f>
        <v/>
      </c>
      <c r="B2555" s="732">
        <f t="shared" si="146"/>
        <v>5</v>
      </c>
      <c r="C2555" s="48">
        <f t="shared" si="145"/>
        <v>41033</v>
      </c>
      <c r="D2555" s="48" t="s">
        <v>1737</v>
      </c>
      <c r="E2555" s="920">
        <v>41033</v>
      </c>
      <c r="F2555" s="49" t="s">
        <v>1131</v>
      </c>
      <c r="G2555" s="49" t="s">
        <v>984</v>
      </c>
      <c r="H2555" s="909" t="s">
        <v>1705</v>
      </c>
      <c r="I2555" s="250">
        <v>80</v>
      </c>
      <c r="J2555" s="250">
        <v>13251.487499999999</v>
      </c>
      <c r="K2555" s="51">
        <f t="shared" si="144"/>
        <v>1060119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s="849" customFormat="1" ht="15.75" customHeight="1">
      <c r="A2556" s="204" t="str">
        <f>IF(B2556&lt;&gt;"",IF(AND(B2556&gt;=_TM1,B2556&lt;=_TM2,OR(TH!L2556="1111",TH!M2556="1111")),TH!D2556,""),"")</f>
        <v/>
      </c>
      <c r="B2556" s="732">
        <f t="shared" si="146"/>
        <v>5</v>
      </c>
      <c r="C2556" s="48">
        <f t="shared" si="145"/>
        <v>41036</v>
      </c>
      <c r="D2556" s="48" t="s">
        <v>1737</v>
      </c>
      <c r="E2556" s="920">
        <v>41036</v>
      </c>
      <c r="F2556" s="49" t="s">
        <v>1202</v>
      </c>
      <c r="G2556" s="49" t="s">
        <v>985</v>
      </c>
      <c r="H2556" s="909" t="s">
        <v>1705</v>
      </c>
      <c r="I2556" s="250">
        <v>308</v>
      </c>
      <c r="J2556" s="250">
        <v>4622.2759740259744</v>
      </c>
      <c r="K2556" s="51">
        <f t="shared" si="144"/>
        <v>1423661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s="849" customFormat="1" ht="15.75" customHeight="1">
      <c r="A2557" s="204" t="str">
        <f>IF(B2557&lt;&gt;"",IF(AND(B2557&gt;=_TM1,B2557&lt;=_TM2,OR(TH!L2557="1111",TH!M2557="1111")),TH!D2557,""),"")</f>
        <v/>
      </c>
      <c r="B2557" s="732">
        <f t="shared" si="146"/>
        <v>5</v>
      </c>
      <c r="C2557" s="48">
        <f t="shared" si="145"/>
        <v>41036</v>
      </c>
      <c r="D2557" s="48" t="s">
        <v>1737</v>
      </c>
      <c r="E2557" s="920">
        <v>41036</v>
      </c>
      <c r="F2557" s="49" t="s">
        <v>986</v>
      </c>
      <c r="G2557" s="49" t="s">
        <v>985</v>
      </c>
      <c r="H2557" s="909" t="s">
        <v>1705</v>
      </c>
      <c r="I2557" s="250">
        <v>500</v>
      </c>
      <c r="J2557" s="250">
        <v>1310.1980000000001</v>
      </c>
      <c r="K2557" s="51">
        <f t="shared" si="144"/>
        <v>655099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s="849" customFormat="1" ht="15.75" customHeight="1">
      <c r="A2558" s="204" t="str">
        <f>IF(B2558&lt;&gt;"",IF(AND(B2558&gt;=_TM1,B2558&lt;=_TM2,OR(TH!L2558="1111",TH!M2558="1111")),TH!D2558,""),"")</f>
        <v/>
      </c>
      <c r="B2558" s="732">
        <f t="shared" ref="B2558:B2568" si="147">IF(C2558&lt;&gt;"",MONTH(C2558),"")</f>
        <v>5</v>
      </c>
      <c r="C2558" s="48">
        <f t="shared" si="145"/>
        <v>41036</v>
      </c>
      <c r="D2558" s="48" t="s">
        <v>1737</v>
      </c>
      <c r="E2558" s="920">
        <v>41036</v>
      </c>
      <c r="F2558" s="49" t="s">
        <v>987</v>
      </c>
      <c r="G2558" s="49" t="s">
        <v>985</v>
      </c>
      <c r="H2558" s="909" t="s">
        <v>1705</v>
      </c>
      <c r="I2558" s="250">
        <v>5000</v>
      </c>
      <c r="J2558" s="250">
        <v>1310.8507999999999</v>
      </c>
      <c r="K2558" s="51">
        <f t="shared" si="144"/>
        <v>6554254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s="849" customFormat="1" ht="15.75" customHeight="1">
      <c r="A2559" s="204" t="str">
        <f>IF(B2559&lt;&gt;"",IF(AND(B2559&gt;=_TM1,B2559&lt;=_TM2,OR(TH!L2559="1111",TH!M2559="1111")),TH!D2559,""),"")</f>
        <v/>
      </c>
      <c r="B2559" s="732">
        <f t="shared" si="147"/>
        <v>5</v>
      </c>
      <c r="C2559" s="48">
        <f t="shared" si="145"/>
        <v>41037</v>
      </c>
      <c r="D2559" s="48" t="s">
        <v>1737</v>
      </c>
      <c r="E2559" s="920">
        <v>41037</v>
      </c>
      <c r="F2559" s="49" t="s">
        <v>1153</v>
      </c>
      <c r="G2559" s="49" t="s">
        <v>988</v>
      </c>
      <c r="H2559" s="909" t="s">
        <v>1705</v>
      </c>
      <c r="I2559" s="250">
        <v>795</v>
      </c>
      <c r="J2559" s="250">
        <v>5731.3735849056602</v>
      </c>
      <c r="K2559" s="51">
        <f t="shared" si="144"/>
        <v>4556442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s="849" customFormat="1" ht="15.75" customHeight="1">
      <c r="A2560" s="204" t="str">
        <f>IF(B2560&lt;&gt;"",IF(AND(B2560&gt;=_TM1,B2560&lt;=_TM2,OR(TH!L2560="1111",TH!M2560="1111")),TH!D2560,""),"")</f>
        <v/>
      </c>
      <c r="B2560" s="732">
        <f t="shared" si="147"/>
        <v>5</v>
      </c>
      <c r="C2560" s="48">
        <f t="shared" si="145"/>
        <v>41037</v>
      </c>
      <c r="D2560" s="48" t="s">
        <v>1737</v>
      </c>
      <c r="E2560" s="920">
        <v>41037</v>
      </c>
      <c r="F2560" s="49" t="s">
        <v>1570</v>
      </c>
      <c r="G2560" s="49" t="s">
        <v>1569</v>
      </c>
      <c r="H2560" s="909" t="s">
        <v>1705</v>
      </c>
      <c r="I2560" s="250">
        <v>503</v>
      </c>
      <c r="J2560" s="250">
        <v>5463.2982107355865</v>
      </c>
      <c r="K2560" s="51">
        <f t="shared" si="144"/>
        <v>2748039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s="849" customFormat="1" ht="15.75" customHeight="1">
      <c r="A2561" s="204" t="str">
        <f>IF(B2561&lt;&gt;"",IF(AND(B2561&gt;=_TM1,B2561&lt;=_TM2,OR(TH!L2561="1111",TH!M2561="1111")),TH!D2561,""),"")</f>
        <v/>
      </c>
      <c r="B2561" s="732">
        <f t="shared" si="147"/>
        <v>5</v>
      </c>
      <c r="C2561" s="48">
        <f t="shared" si="145"/>
        <v>41039</v>
      </c>
      <c r="D2561" s="48" t="s">
        <v>1737</v>
      </c>
      <c r="E2561" s="920">
        <v>41039</v>
      </c>
      <c r="F2561" s="49" t="s">
        <v>1201</v>
      </c>
      <c r="G2561" s="49" t="s">
        <v>990</v>
      </c>
      <c r="H2561" s="909" t="s">
        <v>1705</v>
      </c>
      <c r="I2561" s="250">
        <v>300</v>
      </c>
      <c r="J2561" s="250">
        <v>6110.04</v>
      </c>
      <c r="K2561" s="51">
        <f t="shared" si="144"/>
        <v>1833012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s="849" customFormat="1" ht="15.75" customHeight="1">
      <c r="A2562" s="204" t="str">
        <f>IF(B2562&lt;&gt;"",IF(AND(B2562&gt;=_TM1,B2562&lt;=_TM2,OR(TH!L2562="1111",TH!M2562="1111")),TH!D2562,""),"")</f>
        <v/>
      </c>
      <c r="B2562" s="732">
        <f t="shared" si="147"/>
        <v>5</v>
      </c>
      <c r="C2562" s="48">
        <f t="shared" si="145"/>
        <v>41041</v>
      </c>
      <c r="D2562" s="48" t="s">
        <v>1737</v>
      </c>
      <c r="E2562" s="920">
        <v>41041</v>
      </c>
      <c r="F2562" s="919" t="s">
        <v>1174</v>
      </c>
      <c r="G2562" s="49" t="s">
        <v>991</v>
      </c>
      <c r="H2562" s="909" t="s">
        <v>1705</v>
      </c>
      <c r="I2562" s="250">
        <v>1025</v>
      </c>
      <c r="J2562" s="250">
        <v>6500.919024390244</v>
      </c>
      <c r="K2562" s="51">
        <f t="shared" si="144"/>
        <v>6663442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s="849" customFormat="1" ht="15.75" customHeight="1">
      <c r="A2563" s="204" t="str">
        <f>IF(B2563&lt;&gt;"",IF(AND(B2563&gt;=_TM1,B2563&lt;=_TM2,OR(TH!L2563="1111",TH!M2563="1111")),TH!D2563,""),"")</f>
        <v/>
      </c>
      <c r="B2563" s="732">
        <f t="shared" si="147"/>
        <v>5</v>
      </c>
      <c r="C2563" s="48">
        <f t="shared" si="145"/>
        <v>41041</v>
      </c>
      <c r="D2563" s="48" t="s">
        <v>1737</v>
      </c>
      <c r="E2563" s="920">
        <v>41041</v>
      </c>
      <c r="F2563" s="49" t="s">
        <v>1136</v>
      </c>
      <c r="G2563" s="49" t="s">
        <v>993</v>
      </c>
      <c r="H2563" s="909" t="s">
        <v>1705</v>
      </c>
      <c r="I2563" s="250">
        <v>27</v>
      </c>
      <c r="J2563" s="250">
        <v>8696.3703703703704</v>
      </c>
      <c r="K2563" s="51">
        <f t="shared" si="144"/>
        <v>234802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s="849" customFormat="1" ht="15.75" customHeight="1">
      <c r="A2564" s="204" t="str">
        <f>IF(B2564&lt;&gt;"",IF(AND(B2564&gt;=_TM1,B2564&lt;=_TM2,OR(TH!L2564="1111",TH!M2564="1111")),TH!D2564,""),"")</f>
        <v/>
      </c>
      <c r="B2564" s="732">
        <f t="shared" si="147"/>
        <v>5</v>
      </c>
      <c r="C2564" s="48">
        <f t="shared" si="145"/>
        <v>41041</v>
      </c>
      <c r="D2564" s="48" t="s">
        <v>1737</v>
      </c>
      <c r="E2564" s="920">
        <v>41041</v>
      </c>
      <c r="F2564" s="49" t="s">
        <v>1118</v>
      </c>
      <c r="G2564" s="49" t="s">
        <v>993</v>
      </c>
      <c r="H2564" s="909" t="s">
        <v>1705</v>
      </c>
      <c r="I2564" s="250">
        <v>1350</v>
      </c>
      <c r="J2564" s="250">
        <v>4798.0407407407411</v>
      </c>
      <c r="K2564" s="51">
        <f t="shared" si="144"/>
        <v>6477355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s="849" customFormat="1" ht="15.75" customHeight="1">
      <c r="A2565" s="204" t="str">
        <f>IF(B2565&lt;&gt;"",IF(AND(B2565&gt;=_TM1,B2565&lt;=_TM2,OR(TH!L2565="1111",TH!M2565="1111")),TH!D2565,""),"")</f>
        <v/>
      </c>
      <c r="B2565" s="732">
        <f t="shared" si="147"/>
        <v>5</v>
      </c>
      <c r="C2565" s="48">
        <f t="shared" si="145"/>
        <v>41041</v>
      </c>
      <c r="D2565" s="48" t="s">
        <v>1737</v>
      </c>
      <c r="E2565" s="920">
        <v>41041</v>
      </c>
      <c r="F2565" s="49" t="s">
        <v>1133</v>
      </c>
      <c r="G2565" s="49" t="s">
        <v>993</v>
      </c>
      <c r="H2565" s="909" t="s">
        <v>1705</v>
      </c>
      <c r="I2565" s="250">
        <v>200</v>
      </c>
      <c r="J2565" s="250">
        <v>8835.5400000000009</v>
      </c>
      <c r="K2565" s="51">
        <f t="shared" si="144"/>
        <v>1767108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s="849" customFormat="1" ht="15.75" customHeight="1">
      <c r="A2566" s="204" t="str">
        <f>IF(B2566&lt;&gt;"",IF(AND(B2566&gt;=_TM1,B2566&lt;=_TM2,OR(TH!L2566="1111",TH!M2566="1111")),TH!D2566,""),"")</f>
        <v/>
      </c>
      <c r="B2566" s="732">
        <f t="shared" si="147"/>
        <v>5</v>
      </c>
      <c r="C2566" s="48">
        <f t="shared" si="145"/>
        <v>41041</v>
      </c>
      <c r="D2566" s="48" t="s">
        <v>1737</v>
      </c>
      <c r="E2566" s="920">
        <v>41041</v>
      </c>
      <c r="F2566" s="49" t="s">
        <v>1131</v>
      </c>
      <c r="G2566" s="49" t="s">
        <v>993</v>
      </c>
      <c r="H2566" s="909" t="s">
        <v>1705</v>
      </c>
      <c r="I2566" s="250">
        <v>89</v>
      </c>
      <c r="J2566" s="250">
        <v>13251.483146067416</v>
      </c>
      <c r="K2566" s="51">
        <f t="shared" si="144"/>
        <v>1179382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s="849" customFormat="1" ht="15.75" customHeight="1">
      <c r="A2567" s="204" t="str">
        <f>IF(B2567&lt;&gt;"",IF(AND(B2567&gt;=_TM1,B2567&lt;=_TM2,OR(TH!L2567="1111",TH!M2567="1111")),TH!D2567,""),"")</f>
        <v/>
      </c>
      <c r="B2567" s="732">
        <f t="shared" si="147"/>
        <v>5</v>
      </c>
      <c r="C2567" s="48">
        <f t="shared" si="145"/>
        <v>41045</v>
      </c>
      <c r="D2567" s="48" t="s">
        <v>1737</v>
      </c>
      <c r="E2567" s="920">
        <v>41045</v>
      </c>
      <c r="F2567" s="49" t="s">
        <v>1200</v>
      </c>
      <c r="G2567" s="49" t="s">
        <v>994</v>
      </c>
      <c r="H2567" s="909" t="s">
        <v>1705</v>
      </c>
      <c r="I2567" s="250">
        <v>451</v>
      </c>
      <c r="J2567" s="250">
        <v>7275.6629711751666</v>
      </c>
      <c r="K2567" s="51">
        <f t="shared" si="144"/>
        <v>3281324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s="849" customFormat="1" ht="15.75" customHeight="1">
      <c r="A2568" s="204" t="str">
        <f>IF(B2568&lt;&gt;"",IF(AND(B2568&gt;=_TM1,B2568&lt;=_TM2,OR(TH!L2568="1111",TH!M2568="1111")),TH!D2568,""),"")</f>
        <v/>
      </c>
      <c r="B2568" s="732">
        <f t="shared" si="147"/>
        <v>5</v>
      </c>
      <c r="C2568" s="48">
        <f t="shared" si="145"/>
        <v>41045</v>
      </c>
      <c r="D2568" s="48" t="s">
        <v>1737</v>
      </c>
      <c r="E2568" s="920">
        <v>41045</v>
      </c>
      <c r="F2568" s="49" t="s">
        <v>1070</v>
      </c>
      <c r="G2568" s="49" t="s">
        <v>994</v>
      </c>
      <c r="H2568" s="909" t="s">
        <v>1705</v>
      </c>
      <c r="I2568" s="250">
        <v>783</v>
      </c>
      <c r="J2568" s="250">
        <v>6580.6973180076629</v>
      </c>
      <c r="K2568" s="51">
        <f t="shared" si="144"/>
        <v>5152686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customHeight="1">
      <c r="A2569" s="204" t="str">
        <f>IF(B2569&lt;&gt;"",IF(AND(B2569&gt;=_TM1,B2569&lt;=_TM2,OR(TH!L2569="1111",TH!M2569="1111")),TH!D2569,""),"")</f>
        <v/>
      </c>
      <c r="B2569" s="36">
        <f t="shared" ref="B2569:B2632" si="148">IF(C2569&lt;&gt;"",MONTH(C2569),"")</f>
        <v>5</v>
      </c>
      <c r="C2569" s="48">
        <f t="shared" si="145"/>
        <v>41045</v>
      </c>
      <c r="D2569" s="48" t="s">
        <v>1737</v>
      </c>
      <c r="E2569" s="920">
        <v>41045</v>
      </c>
      <c r="F2569" s="919" t="s">
        <v>1199</v>
      </c>
      <c r="G2569" s="872" t="s">
        <v>994</v>
      </c>
      <c r="H2569" s="909" t="s">
        <v>1705</v>
      </c>
      <c r="I2569" s="250">
        <v>1200</v>
      </c>
      <c r="J2569" s="250">
        <v>1484.4158333333332</v>
      </c>
      <c r="K2569" s="51">
        <f t="shared" si="144"/>
        <v>1781299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customHeight="1">
      <c r="A2570" s="204" t="str">
        <f>IF(B2570&lt;&gt;"",IF(AND(B2570&gt;=_TM1,B2570&lt;=_TM2,OR(TH!L2570="1111",TH!M2570="1111")),TH!D2570,""),"")</f>
        <v/>
      </c>
      <c r="B2570" s="36">
        <f t="shared" si="148"/>
        <v>5</v>
      </c>
      <c r="C2570" s="48">
        <f t="shared" si="145"/>
        <v>41047</v>
      </c>
      <c r="D2570" s="48" t="s">
        <v>1737</v>
      </c>
      <c r="E2570" s="920">
        <v>41047</v>
      </c>
      <c r="F2570" s="919" t="s">
        <v>1198</v>
      </c>
      <c r="G2570" s="872" t="s">
        <v>995</v>
      </c>
      <c r="H2570" s="909" t="s">
        <v>1705</v>
      </c>
      <c r="I2570" s="250">
        <v>100</v>
      </c>
      <c r="J2570" s="250">
        <v>53950.94</v>
      </c>
      <c r="K2570" s="51">
        <f t="shared" ref="K2570:K2633" si="149">ROUND(I2570*J2570,0)</f>
        <v>5395094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customHeight="1">
      <c r="A2571" s="204" t="str">
        <f>IF(B2571&lt;&gt;"",IF(AND(B2571&gt;=_TM1,B2571&lt;=_TM2,OR(TH!L2571="1111",TH!M2571="1111")),TH!D2571,""),"")</f>
        <v/>
      </c>
      <c r="B2571" s="36">
        <f t="shared" si="148"/>
        <v>5</v>
      </c>
      <c r="C2571" s="48">
        <f t="shared" si="145"/>
        <v>41047</v>
      </c>
      <c r="D2571" s="48" t="s">
        <v>1737</v>
      </c>
      <c r="E2571" s="920">
        <v>41047</v>
      </c>
      <c r="F2571" s="919" t="s">
        <v>1197</v>
      </c>
      <c r="G2571" s="872" t="s">
        <v>995</v>
      </c>
      <c r="H2571" s="909" t="s">
        <v>1705</v>
      </c>
      <c r="I2571" s="250">
        <v>97</v>
      </c>
      <c r="J2571" s="250">
        <v>23656.041237113401</v>
      </c>
      <c r="K2571" s="51">
        <f t="shared" si="149"/>
        <v>2294636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customHeight="1">
      <c r="A2572" s="204" t="str">
        <f>IF(B2572&lt;&gt;"",IF(AND(B2572&gt;=_TM1,B2572&lt;=_TM2,OR(TH!L2572="1111",TH!M2572="1111")),TH!D2572,""),"")</f>
        <v/>
      </c>
      <c r="B2572" s="36">
        <f t="shared" si="148"/>
        <v>5</v>
      </c>
      <c r="C2572" s="48">
        <f t="shared" si="145"/>
        <v>41047</v>
      </c>
      <c r="D2572" s="48" t="s">
        <v>1737</v>
      </c>
      <c r="E2572" s="920">
        <v>41047</v>
      </c>
      <c r="F2572" s="919" t="s">
        <v>1129</v>
      </c>
      <c r="G2572" s="872" t="s">
        <v>996</v>
      </c>
      <c r="H2572" s="909" t="s">
        <v>1705</v>
      </c>
      <c r="I2572" s="250">
        <v>100</v>
      </c>
      <c r="J2572" s="250">
        <v>10588.04</v>
      </c>
      <c r="K2572" s="51">
        <f t="shared" si="149"/>
        <v>1058804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customHeight="1">
      <c r="A2573" s="204" t="str">
        <f>IF(B2573&lt;&gt;"",IF(AND(B2573&gt;=_TM1,B2573&lt;=_TM2,OR(TH!L2573="1111",TH!M2573="1111")),TH!D2573,""),"")</f>
        <v/>
      </c>
      <c r="B2573" s="36">
        <f t="shared" si="148"/>
        <v>5</v>
      </c>
      <c r="C2573" s="48">
        <f t="shared" si="145"/>
        <v>41047</v>
      </c>
      <c r="D2573" s="48" t="s">
        <v>1737</v>
      </c>
      <c r="E2573" s="920">
        <v>41047</v>
      </c>
      <c r="F2573" s="919" t="s">
        <v>1196</v>
      </c>
      <c r="G2573" s="872" t="s">
        <v>996</v>
      </c>
      <c r="H2573" s="909" t="s">
        <v>1705</v>
      </c>
      <c r="I2573" s="250">
        <v>230</v>
      </c>
      <c r="J2573" s="250">
        <v>8036.630434782609</v>
      </c>
      <c r="K2573" s="51">
        <f t="shared" si="149"/>
        <v>1848425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customHeight="1">
      <c r="A2574" s="204" t="str">
        <f>IF(B2574&lt;&gt;"",IF(AND(B2574&gt;=_TM1,B2574&lt;=_TM2,OR(TH!L2574="1111",TH!M2574="1111")),TH!D2574,""),"")</f>
        <v/>
      </c>
      <c r="B2574" s="36">
        <f t="shared" si="148"/>
        <v>5</v>
      </c>
      <c r="C2574" s="48">
        <f t="shared" ref="C2574:C2637" si="150">E2574</f>
        <v>41047</v>
      </c>
      <c r="D2574" s="48" t="s">
        <v>1737</v>
      </c>
      <c r="E2574" s="920">
        <v>41047</v>
      </c>
      <c r="F2574" s="919" t="s">
        <v>1195</v>
      </c>
      <c r="G2574" s="872" t="s">
        <v>996</v>
      </c>
      <c r="H2574" s="909" t="s">
        <v>1705</v>
      </c>
      <c r="I2574" s="250">
        <v>328</v>
      </c>
      <c r="J2574" s="250">
        <v>12031.039634146342</v>
      </c>
      <c r="K2574" s="51">
        <f t="shared" si="149"/>
        <v>3946181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customHeight="1">
      <c r="A2575" s="204" t="str">
        <f>IF(B2575&lt;&gt;"",IF(AND(B2575&gt;=_TM1,B2575&lt;=_TM2,OR(TH!L2575="1111",TH!M2575="1111")),TH!D2575,""),"")</f>
        <v/>
      </c>
      <c r="B2575" s="36">
        <f t="shared" si="148"/>
        <v>5</v>
      </c>
      <c r="C2575" s="48">
        <f t="shared" si="150"/>
        <v>41047</v>
      </c>
      <c r="D2575" s="48" t="s">
        <v>1737</v>
      </c>
      <c r="E2575" s="920">
        <v>41047</v>
      </c>
      <c r="F2575" s="919" t="s">
        <v>1195</v>
      </c>
      <c r="G2575" s="872" t="s">
        <v>996</v>
      </c>
      <c r="H2575" s="909" t="s">
        <v>1705</v>
      </c>
      <c r="I2575" s="250">
        <v>505</v>
      </c>
      <c r="J2575" s="250">
        <v>15973.328712871287</v>
      </c>
      <c r="K2575" s="51">
        <f t="shared" si="149"/>
        <v>8066531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customHeight="1">
      <c r="A2576" s="204" t="str">
        <f>IF(B2576&lt;&gt;"",IF(AND(B2576&gt;=_TM1,B2576&lt;=_TM2,OR(TH!L2576="1111",TH!M2576="1111")),TH!D2576,""),"")</f>
        <v/>
      </c>
      <c r="B2576" s="36">
        <f t="shared" si="148"/>
        <v>5</v>
      </c>
      <c r="C2576" s="48">
        <f t="shared" si="150"/>
        <v>41051</v>
      </c>
      <c r="D2576" s="48" t="s">
        <v>1737</v>
      </c>
      <c r="E2576" s="920">
        <v>41051</v>
      </c>
      <c r="F2576" s="919" t="s">
        <v>1194</v>
      </c>
      <c r="G2576" s="872" t="s">
        <v>998</v>
      </c>
      <c r="H2576" s="909" t="s">
        <v>1705</v>
      </c>
      <c r="I2576" s="250">
        <v>327</v>
      </c>
      <c r="J2576" s="250">
        <v>3637.9969418960245</v>
      </c>
      <c r="K2576" s="51">
        <f t="shared" si="149"/>
        <v>1189625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customHeight="1">
      <c r="A2577" s="204" t="str">
        <f>IF(B2577&lt;&gt;"",IF(AND(B2577&gt;=_TM1,B2577&lt;=_TM2,OR(TH!L2577="1111",TH!M2577="1111")),TH!D2577,""),"")</f>
        <v/>
      </c>
      <c r="B2577" s="36">
        <f t="shared" si="148"/>
        <v>5</v>
      </c>
      <c r="C2577" s="48">
        <f t="shared" si="150"/>
        <v>41051</v>
      </c>
      <c r="D2577" s="48" t="s">
        <v>1737</v>
      </c>
      <c r="E2577" s="920">
        <v>41051</v>
      </c>
      <c r="F2577" s="919" t="s">
        <v>1193</v>
      </c>
      <c r="G2577" s="872" t="s">
        <v>998</v>
      </c>
      <c r="H2577" s="909" t="s">
        <v>1705</v>
      </c>
      <c r="I2577" s="250">
        <v>317</v>
      </c>
      <c r="J2577" s="250">
        <v>5603.6750788643531</v>
      </c>
      <c r="K2577" s="51">
        <f t="shared" si="149"/>
        <v>1776365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customHeight="1">
      <c r="A2578" s="204" t="str">
        <f>IF(B2578&lt;&gt;"",IF(AND(B2578&gt;=_TM1,B2578&lt;=_TM2,OR(TH!L2578="1111",TH!M2578="1111")),TH!D2578,""),"")</f>
        <v/>
      </c>
      <c r="B2578" s="36">
        <f t="shared" si="148"/>
        <v>5</v>
      </c>
      <c r="C2578" s="48">
        <f t="shared" si="150"/>
        <v>41051</v>
      </c>
      <c r="D2578" s="48" t="s">
        <v>1737</v>
      </c>
      <c r="E2578" s="920">
        <v>41051</v>
      </c>
      <c r="F2578" s="919" t="s">
        <v>1192</v>
      </c>
      <c r="G2578" s="872" t="s">
        <v>998</v>
      </c>
      <c r="H2578" s="909" t="s">
        <v>1705</v>
      </c>
      <c r="I2578" s="250">
        <v>2040</v>
      </c>
      <c r="J2578" s="250">
        <v>6842.2784313725488</v>
      </c>
      <c r="K2578" s="51">
        <f t="shared" si="149"/>
        <v>13958248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customHeight="1">
      <c r="A2579" s="204" t="str">
        <f>IF(B2579&lt;&gt;"",IF(AND(B2579&gt;=_TM1,B2579&lt;=_TM2,OR(TH!L2579="1111",TH!M2579="1111")),TH!D2579,""),"")</f>
        <v/>
      </c>
      <c r="B2579" s="36">
        <f t="shared" si="148"/>
        <v>5</v>
      </c>
      <c r="C2579" s="48">
        <f t="shared" si="150"/>
        <v>41051</v>
      </c>
      <c r="D2579" s="48" t="s">
        <v>1737</v>
      </c>
      <c r="E2579" s="920">
        <v>41051</v>
      </c>
      <c r="F2579" s="919" t="s">
        <v>1191</v>
      </c>
      <c r="G2579" s="872" t="s">
        <v>999</v>
      </c>
      <c r="H2579" s="909" t="s">
        <v>1705</v>
      </c>
      <c r="I2579" s="250">
        <v>492</v>
      </c>
      <c r="J2579" s="250">
        <v>8738.7642276422757</v>
      </c>
      <c r="K2579" s="51">
        <f t="shared" si="149"/>
        <v>4299472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customHeight="1">
      <c r="A2580" s="204" t="str">
        <f>IF(B2580&lt;&gt;"",IF(AND(B2580&gt;=_TM1,B2580&lt;=_TM2,OR(TH!L2580="1111",TH!M2580="1111")),TH!D2580,""),"")</f>
        <v/>
      </c>
      <c r="B2580" s="36">
        <f t="shared" si="148"/>
        <v>5</v>
      </c>
      <c r="C2580" s="48">
        <f t="shared" si="150"/>
        <v>41051</v>
      </c>
      <c r="D2580" s="48" t="s">
        <v>1737</v>
      </c>
      <c r="E2580" s="920">
        <v>41051</v>
      </c>
      <c r="F2580" s="919" t="s">
        <v>1190</v>
      </c>
      <c r="G2580" s="872" t="s">
        <v>999</v>
      </c>
      <c r="H2580" s="909" t="s">
        <v>1705</v>
      </c>
      <c r="I2580" s="250">
        <v>500</v>
      </c>
      <c r="J2580" s="250">
        <v>9572.0400000000009</v>
      </c>
      <c r="K2580" s="51">
        <f t="shared" si="149"/>
        <v>4786020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customHeight="1">
      <c r="A2581" s="204" t="str">
        <f>IF(B2581&lt;&gt;"",IF(AND(B2581&gt;=_TM1,B2581&lt;=_TM2,OR(TH!L2581="1111",TH!M2581="1111")),TH!D2581,""),"")</f>
        <v/>
      </c>
      <c r="B2581" s="36">
        <f t="shared" si="148"/>
        <v>5</v>
      </c>
      <c r="C2581" s="48">
        <f t="shared" si="150"/>
        <v>41051</v>
      </c>
      <c r="D2581" s="48" t="s">
        <v>1737</v>
      </c>
      <c r="E2581" s="920">
        <v>41051</v>
      </c>
      <c r="F2581" s="919" t="s">
        <v>1189</v>
      </c>
      <c r="G2581" s="872" t="s">
        <v>999</v>
      </c>
      <c r="H2581" s="909" t="s">
        <v>1705</v>
      </c>
      <c r="I2581" s="250">
        <v>982</v>
      </c>
      <c r="J2581" s="250">
        <v>10576.81466395112</v>
      </c>
      <c r="K2581" s="51">
        <f t="shared" si="149"/>
        <v>10386432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customHeight="1">
      <c r="A2582" s="204" t="str">
        <f>IF(B2582&lt;&gt;"",IF(AND(B2582&gt;=_TM1,B2582&lt;=_TM2,OR(TH!L2582="1111",TH!M2582="1111")),TH!D2582,""),"")</f>
        <v/>
      </c>
      <c r="B2582" s="36">
        <f t="shared" si="148"/>
        <v>5</v>
      </c>
      <c r="C2582" s="48">
        <f t="shared" si="150"/>
        <v>41053</v>
      </c>
      <c r="D2582" s="48" t="s">
        <v>1737</v>
      </c>
      <c r="E2582" s="920">
        <v>41053</v>
      </c>
      <c r="F2582" s="919" t="s">
        <v>1187</v>
      </c>
      <c r="G2582" s="872" t="s">
        <v>1001</v>
      </c>
      <c r="H2582" s="909" t="s">
        <v>1705</v>
      </c>
      <c r="I2582" s="250">
        <v>299</v>
      </c>
      <c r="J2582" s="250">
        <v>5902.7290969899668</v>
      </c>
      <c r="K2582" s="51">
        <f t="shared" si="149"/>
        <v>1764916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customHeight="1">
      <c r="A2583" s="204" t="str">
        <f>IF(B2583&lt;&gt;"",IF(AND(B2583&gt;=_TM1,B2583&lt;=_TM2,OR(TH!L2583="1111",TH!M2583="1111")),TH!D2583,""),"")</f>
        <v/>
      </c>
      <c r="B2583" s="36">
        <f t="shared" si="148"/>
        <v>5</v>
      </c>
      <c r="C2583" s="48">
        <f t="shared" si="150"/>
        <v>41053</v>
      </c>
      <c r="D2583" s="48" t="s">
        <v>1737</v>
      </c>
      <c r="E2583" s="920">
        <v>41053</v>
      </c>
      <c r="F2583" s="919" t="s">
        <v>1188</v>
      </c>
      <c r="G2583" s="872" t="s">
        <v>1001</v>
      </c>
      <c r="H2583" s="909" t="s">
        <v>1705</v>
      </c>
      <c r="I2583" s="250">
        <v>296</v>
      </c>
      <c r="J2583" s="250">
        <v>6734.5878378378375</v>
      </c>
      <c r="K2583" s="51">
        <f t="shared" si="149"/>
        <v>1993438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customHeight="1">
      <c r="A2584" s="204" t="str">
        <f>IF(B2584&lt;&gt;"",IF(AND(B2584&gt;=_TM1,B2584&lt;=_TM2,OR(TH!L2584="1111",TH!M2584="1111")),TH!D2584,""),"")</f>
        <v/>
      </c>
      <c r="B2584" s="36">
        <f t="shared" si="148"/>
        <v>5</v>
      </c>
      <c r="C2584" s="48">
        <f t="shared" si="150"/>
        <v>41053</v>
      </c>
      <c r="D2584" s="48" t="s">
        <v>1737</v>
      </c>
      <c r="E2584" s="920">
        <v>41053</v>
      </c>
      <c r="F2584" s="919" t="s">
        <v>1186</v>
      </c>
      <c r="G2584" s="872" t="s">
        <v>1002</v>
      </c>
      <c r="H2584" s="909" t="s">
        <v>1705</v>
      </c>
      <c r="I2584" s="250">
        <v>484</v>
      </c>
      <c r="J2584" s="250">
        <v>17604.18181818182</v>
      </c>
      <c r="K2584" s="51">
        <f t="shared" si="149"/>
        <v>8520424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customHeight="1">
      <c r="A2585" s="204" t="str">
        <f>IF(B2585&lt;&gt;"",IF(AND(B2585&gt;=_TM1,B2585&lt;=_TM2,OR(TH!L2585="1111",TH!M2585="1111")),TH!D2585,""),"")</f>
        <v/>
      </c>
      <c r="B2585" s="36">
        <f t="shared" si="148"/>
        <v>5</v>
      </c>
      <c r="C2585" s="48">
        <f t="shared" si="150"/>
        <v>41053</v>
      </c>
      <c r="D2585" s="48" t="s">
        <v>1737</v>
      </c>
      <c r="E2585" s="920">
        <v>41053</v>
      </c>
      <c r="F2585" s="919" t="s">
        <v>1185</v>
      </c>
      <c r="G2585" s="872" t="s">
        <v>1003</v>
      </c>
      <c r="H2585" s="909" t="s">
        <v>1705</v>
      </c>
      <c r="I2585" s="250">
        <v>850</v>
      </c>
      <c r="J2585" s="250">
        <v>20297.04117647059</v>
      </c>
      <c r="K2585" s="51">
        <f t="shared" si="149"/>
        <v>17252485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customHeight="1">
      <c r="A2586" s="204" t="str">
        <f>IF(B2586&lt;&gt;"",IF(AND(B2586&gt;=_TM1,B2586&lt;=_TM2,OR(TH!L2586="1111",TH!M2586="1111")),TH!D2586,""),"")</f>
        <v/>
      </c>
      <c r="B2586" s="36">
        <f t="shared" si="148"/>
        <v>5</v>
      </c>
      <c r="C2586" s="48">
        <f t="shared" si="150"/>
        <v>41053</v>
      </c>
      <c r="D2586" s="48" t="s">
        <v>1737</v>
      </c>
      <c r="E2586" s="920">
        <v>41053</v>
      </c>
      <c r="F2586" s="919" t="s">
        <v>1184</v>
      </c>
      <c r="G2586" s="872" t="s">
        <v>1003</v>
      </c>
      <c r="H2586" s="909" t="s">
        <v>1705</v>
      </c>
      <c r="I2586" s="250">
        <v>450</v>
      </c>
      <c r="J2586" s="250">
        <v>13251.484444444444</v>
      </c>
      <c r="K2586" s="51">
        <f t="shared" si="149"/>
        <v>5963168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customHeight="1">
      <c r="A2587" s="204" t="str">
        <f>IF(B2587&lt;&gt;"",IF(AND(B2587&gt;=_TM1,B2587&lt;=_TM2,OR(TH!L2587="1111",TH!M2587="1111")),TH!D2587,""),"")</f>
        <v/>
      </c>
      <c r="B2587" s="36">
        <f t="shared" si="148"/>
        <v>5</v>
      </c>
      <c r="C2587" s="48">
        <f t="shared" si="150"/>
        <v>41053</v>
      </c>
      <c r="D2587" s="48" t="s">
        <v>1737</v>
      </c>
      <c r="E2587" s="920">
        <v>41053</v>
      </c>
      <c r="F2587" s="919" t="s">
        <v>1183</v>
      </c>
      <c r="G2587" s="872" t="s">
        <v>1003</v>
      </c>
      <c r="H2587" s="909" t="s">
        <v>1705</v>
      </c>
      <c r="I2587" s="250">
        <v>450</v>
      </c>
      <c r="J2587" s="250">
        <v>21415.52</v>
      </c>
      <c r="K2587" s="51">
        <f t="shared" si="149"/>
        <v>9636984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customHeight="1">
      <c r="A2588" s="204" t="str">
        <f>IF(B2588&lt;&gt;"",IF(AND(B2588&gt;=_TM1,B2588&lt;=_TM2,OR(TH!L2588="1111",TH!M2588="1111")),TH!D2588,""),"")</f>
        <v/>
      </c>
      <c r="B2588" s="36">
        <f t="shared" si="148"/>
        <v>5</v>
      </c>
      <c r="C2588" s="48">
        <f t="shared" si="150"/>
        <v>41059</v>
      </c>
      <c r="D2588" s="48" t="s">
        <v>1737</v>
      </c>
      <c r="E2588" s="920">
        <v>41059</v>
      </c>
      <c r="F2588" s="919" t="s">
        <v>1170</v>
      </c>
      <c r="G2588" s="872" t="s">
        <v>1009</v>
      </c>
      <c r="H2588" s="909" t="s">
        <v>1705</v>
      </c>
      <c r="I2588" s="250">
        <v>1000</v>
      </c>
      <c r="J2588" s="250">
        <v>6979.5410000000002</v>
      </c>
      <c r="K2588" s="51">
        <f t="shared" si="149"/>
        <v>6979541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customHeight="1">
      <c r="A2589" s="204" t="str">
        <f>IF(B2589&lt;&gt;"",IF(AND(B2589&gt;=_TM1,B2589&lt;=_TM2,OR(TH!L2589="1111",TH!M2589="1111")),TH!D2589,""),"")</f>
        <v/>
      </c>
      <c r="B2589" s="36">
        <f t="shared" si="148"/>
        <v>5</v>
      </c>
      <c r="C2589" s="48">
        <f t="shared" si="150"/>
        <v>41059</v>
      </c>
      <c r="D2589" s="48" t="s">
        <v>1737</v>
      </c>
      <c r="E2589" s="920">
        <v>41059</v>
      </c>
      <c r="F2589" s="919" t="s">
        <v>1181</v>
      </c>
      <c r="G2589" s="872" t="s">
        <v>1009</v>
      </c>
      <c r="H2589" s="909" t="s">
        <v>1705</v>
      </c>
      <c r="I2589" s="250">
        <v>990</v>
      </c>
      <c r="J2589" s="250">
        <v>6601.4949494949497</v>
      </c>
      <c r="K2589" s="51">
        <f t="shared" si="149"/>
        <v>6535480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customHeight="1">
      <c r="A2590" s="204" t="str">
        <f>IF(B2590&lt;&gt;"",IF(AND(B2590&gt;=_TM1,B2590&lt;=_TM2,OR(TH!L2590="1111",TH!M2590="1111")),TH!D2590,""),"")</f>
        <v/>
      </c>
      <c r="B2590" s="36">
        <f t="shared" si="148"/>
        <v>5</v>
      </c>
      <c r="C2590" s="48">
        <f t="shared" si="150"/>
        <v>41059</v>
      </c>
      <c r="D2590" s="48" t="s">
        <v>1737</v>
      </c>
      <c r="E2590" s="920">
        <v>41059</v>
      </c>
      <c r="F2590" s="919" t="s">
        <v>1499</v>
      </c>
      <c r="G2590" s="872" t="s">
        <v>1010</v>
      </c>
      <c r="H2590" s="909" t="s">
        <v>1705</v>
      </c>
      <c r="I2590" s="250">
        <v>1</v>
      </c>
      <c r="J2590" s="250">
        <v>5769</v>
      </c>
      <c r="K2590" s="51">
        <f t="shared" si="149"/>
        <v>5769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customHeight="1">
      <c r="A2591" s="204" t="str">
        <f>IF(B2591&lt;&gt;"",IF(AND(B2591&gt;=_TM1,B2591&lt;=_TM2,OR(TH!L2591="1111",TH!M2591="1111")),TH!D2591,""),"")</f>
        <v/>
      </c>
      <c r="B2591" s="36">
        <f t="shared" si="148"/>
        <v>5</v>
      </c>
      <c r="C2591" s="48">
        <f t="shared" si="150"/>
        <v>41059</v>
      </c>
      <c r="D2591" s="48" t="s">
        <v>1737</v>
      </c>
      <c r="E2591" s="920">
        <v>41059</v>
      </c>
      <c r="F2591" s="919" t="s">
        <v>1533</v>
      </c>
      <c r="G2591" s="872" t="s">
        <v>1010</v>
      </c>
      <c r="H2591" s="909" t="s">
        <v>1705</v>
      </c>
      <c r="I2591" s="250">
        <v>1</v>
      </c>
      <c r="J2591" s="250">
        <v>5769</v>
      </c>
      <c r="K2591" s="51">
        <f t="shared" si="149"/>
        <v>5769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customHeight="1">
      <c r="A2592" s="204" t="str">
        <f>IF(B2592&lt;&gt;"",IF(AND(B2592&gt;=_TM1,B2592&lt;=_TM2,OR(TH!L2592="1111",TH!M2592="1111")),TH!D2592,""),"")</f>
        <v/>
      </c>
      <c r="B2592" s="36">
        <f t="shared" si="148"/>
        <v>5</v>
      </c>
      <c r="C2592" s="48">
        <f t="shared" si="150"/>
        <v>41059</v>
      </c>
      <c r="D2592" s="48" t="s">
        <v>1737</v>
      </c>
      <c r="E2592" s="920">
        <v>41059</v>
      </c>
      <c r="F2592" s="919" t="s">
        <v>1497</v>
      </c>
      <c r="G2592" s="872" t="s">
        <v>1010</v>
      </c>
      <c r="H2592" s="909" t="s">
        <v>1705</v>
      </c>
      <c r="I2592" s="250">
        <v>1</v>
      </c>
      <c r="J2592" s="250">
        <v>10283</v>
      </c>
      <c r="K2592" s="51">
        <f t="shared" si="149"/>
        <v>10283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customHeight="1">
      <c r="A2593" s="204" t="str">
        <f>IF(B2593&lt;&gt;"",IF(AND(B2593&gt;=_TM1,B2593&lt;=_TM2,OR(TH!L2593="1111",TH!M2593="1111")),TH!D2593,""),"")</f>
        <v/>
      </c>
      <c r="B2593" s="36">
        <f t="shared" si="148"/>
        <v>5</v>
      </c>
      <c r="C2593" s="48">
        <f t="shared" si="150"/>
        <v>41059</v>
      </c>
      <c r="D2593" s="48" t="s">
        <v>1737</v>
      </c>
      <c r="E2593" s="920">
        <v>41059</v>
      </c>
      <c r="F2593" s="919" t="s">
        <v>1501</v>
      </c>
      <c r="G2593" s="872" t="s">
        <v>1010</v>
      </c>
      <c r="H2593" s="909" t="s">
        <v>1705</v>
      </c>
      <c r="I2593" s="250">
        <v>1</v>
      </c>
      <c r="J2593" s="250">
        <v>10283</v>
      </c>
      <c r="K2593" s="51">
        <f t="shared" si="149"/>
        <v>10283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customHeight="1">
      <c r="A2594" s="204" t="str">
        <f>IF(B2594&lt;&gt;"",IF(AND(B2594&gt;=_TM1,B2594&lt;=_TM2,OR(TH!L2594="1111",TH!M2594="1111")),TH!D2594,""),"")</f>
        <v/>
      </c>
      <c r="B2594" s="36">
        <f t="shared" si="148"/>
        <v>5</v>
      </c>
      <c r="C2594" s="48">
        <f t="shared" si="150"/>
        <v>41059</v>
      </c>
      <c r="D2594" s="48" t="s">
        <v>1737</v>
      </c>
      <c r="E2594" s="920">
        <v>41059</v>
      </c>
      <c r="F2594" s="919" t="s">
        <v>1534</v>
      </c>
      <c r="G2594" s="872" t="s">
        <v>1010</v>
      </c>
      <c r="H2594" s="909" t="s">
        <v>1705</v>
      </c>
      <c r="I2594" s="250">
        <v>1</v>
      </c>
      <c r="J2594" s="250">
        <v>10283</v>
      </c>
      <c r="K2594" s="51">
        <f t="shared" si="149"/>
        <v>10283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customHeight="1">
      <c r="A2595" s="204" t="str">
        <f>IF(B2595&lt;&gt;"",IF(AND(B2595&gt;=_TM1,B2595&lt;=_TM2,OR(TH!L2595="1111",TH!M2595="1111")),TH!D2595,""),"")</f>
        <v/>
      </c>
      <c r="B2595" s="36">
        <f t="shared" si="148"/>
        <v>5</v>
      </c>
      <c r="C2595" s="48">
        <f t="shared" si="150"/>
        <v>41059</v>
      </c>
      <c r="D2595" s="48" t="s">
        <v>1737</v>
      </c>
      <c r="E2595" s="920">
        <v>41059</v>
      </c>
      <c r="F2595" s="919" t="s">
        <v>1536</v>
      </c>
      <c r="G2595" s="872" t="s">
        <v>1010</v>
      </c>
      <c r="H2595" s="909" t="s">
        <v>1705</v>
      </c>
      <c r="I2595" s="250">
        <v>1</v>
      </c>
      <c r="J2595" s="250">
        <v>10283</v>
      </c>
      <c r="K2595" s="51">
        <f t="shared" si="149"/>
        <v>10283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customHeight="1">
      <c r="A2596" s="204" t="str">
        <f>IF(B2596&lt;&gt;"",IF(AND(B2596&gt;=_TM1,B2596&lt;=_TM2,OR(TH!L2596="1111",TH!M2596="1111")),TH!D2596,""),"")</f>
        <v/>
      </c>
      <c r="B2596" s="36">
        <f t="shared" si="148"/>
        <v>5</v>
      </c>
      <c r="C2596" s="48">
        <f t="shared" si="150"/>
        <v>41059</v>
      </c>
      <c r="D2596" s="48" t="s">
        <v>1737</v>
      </c>
      <c r="E2596" s="920">
        <v>41059</v>
      </c>
      <c r="F2596" s="919" t="s">
        <v>1539</v>
      </c>
      <c r="G2596" s="872" t="s">
        <v>1010</v>
      </c>
      <c r="H2596" s="909" t="s">
        <v>1705</v>
      </c>
      <c r="I2596" s="250">
        <v>1</v>
      </c>
      <c r="J2596" s="250">
        <v>10283</v>
      </c>
      <c r="K2596" s="51">
        <f t="shared" si="149"/>
        <v>10283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customHeight="1">
      <c r="A2597" s="204" t="str">
        <f>IF(B2597&lt;&gt;"",IF(AND(B2597&gt;=_TM1,B2597&lt;=_TM2,OR(TH!L2597="1111",TH!M2597="1111")),TH!D2597,""),"")</f>
        <v/>
      </c>
      <c r="B2597" s="36">
        <f t="shared" si="148"/>
        <v>5</v>
      </c>
      <c r="C2597" s="48">
        <f t="shared" si="150"/>
        <v>41059</v>
      </c>
      <c r="D2597" s="48" t="s">
        <v>1737</v>
      </c>
      <c r="E2597" s="920">
        <v>41059</v>
      </c>
      <c r="F2597" s="919" t="s">
        <v>1527</v>
      </c>
      <c r="G2597" s="872" t="s">
        <v>1010</v>
      </c>
      <c r="H2597" s="909" t="s">
        <v>1705</v>
      </c>
      <c r="I2597" s="250">
        <v>1</v>
      </c>
      <c r="J2597" s="250">
        <v>10283</v>
      </c>
      <c r="K2597" s="51">
        <f t="shared" si="149"/>
        <v>10283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customHeight="1">
      <c r="A2598" s="204" t="str">
        <f>IF(B2598&lt;&gt;"",IF(AND(B2598&gt;=_TM1,B2598&lt;=_TM2,OR(TH!L2598="1111",TH!M2598="1111")),TH!D2598,""),"")</f>
        <v/>
      </c>
      <c r="B2598" s="36">
        <f t="shared" si="148"/>
        <v>5</v>
      </c>
      <c r="C2598" s="48">
        <f t="shared" si="150"/>
        <v>41059</v>
      </c>
      <c r="D2598" s="48" t="s">
        <v>1737</v>
      </c>
      <c r="E2598" s="920">
        <v>41059</v>
      </c>
      <c r="F2598" s="919" t="s">
        <v>1527</v>
      </c>
      <c r="G2598" s="872" t="s">
        <v>1010</v>
      </c>
      <c r="H2598" s="909" t="s">
        <v>1705</v>
      </c>
      <c r="I2598" s="250">
        <v>3</v>
      </c>
      <c r="J2598" s="250">
        <v>10186</v>
      </c>
      <c r="K2598" s="51">
        <f t="shared" si="149"/>
        <v>30558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customHeight="1">
      <c r="A2599" s="204" t="str">
        <f>IF(B2599&lt;&gt;"",IF(AND(B2599&gt;=_TM1,B2599&lt;=_TM2,OR(TH!L2599="1111",TH!M2599="1111")),TH!D2599,""),"")</f>
        <v/>
      </c>
      <c r="B2599" s="36">
        <f t="shared" si="148"/>
        <v>5</v>
      </c>
      <c r="C2599" s="48">
        <f t="shared" si="150"/>
        <v>41059</v>
      </c>
      <c r="D2599" s="48" t="s">
        <v>1737</v>
      </c>
      <c r="E2599" s="920">
        <v>41059</v>
      </c>
      <c r="F2599" s="919" t="s">
        <v>1503</v>
      </c>
      <c r="G2599" s="872" t="s">
        <v>1010</v>
      </c>
      <c r="H2599" s="909" t="s">
        <v>1705</v>
      </c>
      <c r="I2599" s="250">
        <v>1</v>
      </c>
      <c r="J2599" s="250">
        <v>10283</v>
      </c>
      <c r="K2599" s="51">
        <f t="shared" si="149"/>
        <v>10283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customHeight="1">
      <c r="A2600" s="204" t="str">
        <f>IF(B2600&lt;&gt;"",IF(AND(B2600&gt;=_TM1,B2600&lt;=_TM2,OR(TH!L2600="1111",TH!M2600="1111")),TH!D2600,""),"")</f>
        <v/>
      </c>
      <c r="B2600" s="36">
        <f t="shared" si="148"/>
        <v>5</v>
      </c>
      <c r="C2600" s="48">
        <f t="shared" si="150"/>
        <v>41059</v>
      </c>
      <c r="D2600" s="48" t="s">
        <v>1737</v>
      </c>
      <c r="E2600" s="920">
        <v>41059</v>
      </c>
      <c r="F2600" s="919" t="s">
        <v>1512</v>
      </c>
      <c r="G2600" s="872" t="s">
        <v>1010</v>
      </c>
      <c r="H2600" s="909" t="s">
        <v>1705</v>
      </c>
      <c r="I2600" s="250">
        <v>26</v>
      </c>
      <c r="J2600" s="250">
        <v>9119</v>
      </c>
      <c r="K2600" s="51">
        <f t="shared" si="149"/>
        <v>237094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customHeight="1">
      <c r="A2601" s="204" t="str">
        <f>IF(B2601&lt;&gt;"",IF(AND(B2601&gt;=_TM1,B2601&lt;=_TM2,OR(TH!L2601="1111",TH!M2601="1111")),TH!D2601,""),"")</f>
        <v/>
      </c>
      <c r="B2601" s="36">
        <f t="shared" si="148"/>
        <v>5</v>
      </c>
      <c r="C2601" s="48">
        <f t="shared" si="150"/>
        <v>41059</v>
      </c>
      <c r="D2601" s="48" t="s">
        <v>1737</v>
      </c>
      <c r="E2601" s="920">
        <v>41059</v>
      </c>
      <c r="F2601" s="919" t="s">
        <v>1515</v>
      </c>
      <c r="G2601" s="872" t="s">
        <v>1010</v>
      </c>
      <c r="H2601" s="909" t="s">
        <v>1705</v>
      </c>
      <c r="I2601" s="250">
        <v>2</v>
      </c>
      <c r="J2601" s="250">
        <v>12031</v>
      </c>
      <c r="K2601" s="51">
        <f t="shared" si="149"/>
        <v>24062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customHeight="1">
      <c r="A2602" s="204" t="str">
        <f>IF(B2602&lt;&gt;"",IF(AND(B2602&gt;=_TM1,B2602&lt;=_TM2,OR(TH!L2602="1111",TH!M2602="1111")),TH!D2602,""),"")</f>
        <v/>
      </c>
      <c r="B2602" s="36">
        <f t="shared" si="148"/>
        <v>5</v>
      </c>
      <c r="C2602" s="48">
        <f t="shared" si="150"/>
        <v>41059</v>
      </c>
      <c r="D2602" s="48" t="s">
        <v>1737</v>
      </c>
      <c r="E2602" s="920">
        <v>41059</v>
      </c>
      <c r="F2602" s="919" t="s">
        <v>1540</v>
      </c>
      <c r="G2602" s="872" t="s">
        <v>1010</v>
      </c>
      <c r="H2602" s="909" t="s">
        <v>1705</v>
      </c>
      <c r="I2602" s="250">
        <v>1</v>
      </c>
      <c r="J2602" s="250">
        <v>10676</v>
      </c>
      <c r="K2602" s="51">
        <f t="shared" si="149"/>
        <v>10676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customHeight="1">
      <c r="A2603" s="204" t="str">
        <f>IF(B2603&lt;&gt;"",IF(AND(B2603&gt;=_TM1,B2603&lt;=_TM2,OR(TH!L2603="1111",TH!M2603="1111")),TH!D2603,""),"")</f>
        <v/>
      </c>
      <c r="B2603" s="36">
        <f t="shared" si="148"/>
        <v>5</v>
      </c>
      <c r="C2603" s="48">
        <f t="shared" si="150"/>
        <v>41059</v>
      </c>
      <c r="D2603" s="48" t="s">
        <v>1737</v>
      </c>
      <c r="E2603" s="920">
        <v>41059</v>
      </c>
      <c r="F2603" s="919" t="s">
        <v>1502</v>
      </c>
      <c r="G2603" s="872" t="s">
        <v>1010</v>
      </c>
      <c r="H2603" s="909" t="s">
        <v>1705</v>
      </c>
      <c r="I2603" s="250">
        <v>1</v>
      </c>
      <c r="J2603" s="250">
        <v>10283</v>
      </c>
      <c r="K2603" s="51">
        <f t="shared" si="149"/>
        <v>10283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customHeight="1">
      <c r="A2604" s="204" t="str">
        <f>IF(B2604&lt;&gt;"",IF(AND(B2604&gt;=_TM1,B2604&lt;=_TM2,OR(TH!L2604="1111",TH!M2604="1111")),TH!D2604,""),"")</f>
        <v/>
      </c>
      <c r="B2604" s="36">
        <f t="shared" si="148"/>
        <v>5</v>
      </c>
      <c r="C2604" s="48">
        <f t="shared" si="150"/>
        <v>41059</v>
      </c>
      <c r="D2604" s="48" t="s">
        <v>1737</v>
      </c>
      <c r="E2604" s="920">
        <v>41059</v>
      </c>
      <c r="F2604" s="919" t="s">
        <v>1537</v>
      </c>
      <c r="G2604" s="872" t="s">
        <v>1010</v>
      </c>
      <c r="H2604" s="909" t="s">
        <v>1705</v>
      </c>
      <c r="I2604" s="250">
        <v>1</v>
      </c>
      <c r="J2604" s="250">
        <v>10283</v>
      </c>
      <c r="K2604" s="51">
        <f t="shared" si="149"/>
        <v>10283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customHeight="1">
      <c r="A2605" s="204" t="str">
        <f>IF(B2605&lt;&gt;"",IF(AND(B2605&gt;=_TM1,B2605&lt;=_TM2,OR(TH!L2605="1111",TH!M2605="1111")),TH!D2605,""),"")</f>
        <v/>
      </c>
      <c r="B2605" s="36">
        <f t="shared" si="148"/>
        <v>5</v>
      </c>
      <c r="C2605" s="48">
        <f t="shared" si="150"/>
        <v>41059</v>
      </c>
      <c r="D2605" s="48" t="s">
        <v>1737</v>
      </c>
      <c r="E2605" s="920">
        <v>41059</v>
      </c>
      <c r="F2605" s="919" t="s">
        <v>1514</v>
      </c>
      <c r="G2605" s="872" t="s">
        <v>1010</v>
      </c>
      <c r="H2605" s="909" t="s">
        <v>1705</v>
      </c>
      <c r="I2605" s="250">
        <v>4</v>
      </c>
      <c r="J2605" s="250">
        <v>13251.5</v>
      </c>
      <c r="K2605" s="51">
        <f t="shared" si="149"/>
        <v>53006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customHeight="1">
      <c r="A2606" s="204" t="str">
        <f>IF(B2606&lt;&gt;"",IF(AND(B2606&gt;=_TM1,B2606&lt;=_TM2,OR(TH!L2606="1111",TH!M2606="1111")),TH!D2606,""),"")</f>
        <v/>
      </c>
      <c r="B2606" s="36">
        <f t="shared" si="148"/>
        <v>5</v>
      </c>
      <c r="C2606" s="48">
        <f t="shared" si="150"/>
        <v>41059</v>
      </c>
      <c r="D2606" s="48" t="s">
        <v>1737</v>
      </c>
      <c r="E2606" s="920">
        <v>41059</v>
      </c>
      <c r="F2606" s="919" t="s">
        <v>1541</v>
      </c>
      <c r="G2606" s="872" t="s">
        <v>1010</v>
      </c>
      <c r="H2606" s="909" t="s">
        <v>1705</v>
      </c>
      <c r="I2606" s="250">
        <v>4</v>
      </c>
      <c r="J2606" s="250">
        <v>10676</v>
      </c>
      <c r="K2606" s="51">
        <f t="shared" si="149"/>
        <v>42704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customHeight="1">
      <c r="A2607" s="204" t="str">
        <f>IF(B2607&lt;&gt;"",IF(AND(B2607&gt;=_TM1,B2607&lt;=_TM2,OR(TH!L2607="1111",TH!M2607="1111")),TH!D2607,""),"")</f>
        <v/>
      </c>
      <c r="B2607" s="36">
        <f t="shared" si="148"/>
        <v>5</v>
      </c>
      <c r="C2607" s="48">
        <f t="shared" si="150"/>
        <v>41059</v>
      </c>
      <c r="D2607" s="48" t="s">
        <v>1737</v>
      </c>
      <c r="E2607" s="920">
        <v>41059</v>
      </c>
      <c r="F2607" s="919" t="s">
        <v>1504</v>
      </c>
      <c r="G2607" s="872" t="s">
        <v>1010</v>
      </c>
      <c r="H2607" s="909" t="s">
        <v>1705</v>
      </c>
      <c r="I2607" s="250">
        <v>24</v>
      </c>
      <c r="J2607" s="250">
        <v>9695.0416666666661</v>
      </c>
      <c r="K2607" s="51">
        <f t="shared" si="149"/>
        <v>232681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customHeight="1">
      <c r="A2608" s="204" t="str">
        <f>IF(B2608&lt;&gt;"",IF(AND(B2608&gt;=_TM1,B2608&lt;=_TM2,OR(TH!L2608="1111",TH!M2608="1111")),TH!D2608,""),"")</f>
        <v/>
      </c>
      <c r="B2608" s="36">
        <f t="shared" si="148"/>
        <v>5</v>
      </c>
      <c r="C2608" s="48">
        <f t="shared" si="150"/>
        <v>41059</v>
      </c>
      <c r="D2608" s="48" t="s">
        <v>1737</v>
      </c>
      <c r="E2608" s="920">
        <v>41059</v>
      </c>
      <c r="F2608" s="919" t="s">
        <v>1505</v>
      </c>
      <c r="G2608" s="872" t="s">
        <v>1010</v>
      </c>
      <c r="H2608" s="909" t="s">
        <v>1705</v>
      </c>
      <c r="I2608" s="250">
        <v>81</v>
      </c>
      <c r="J2608" s="250">
        <v>10656.679012345679</v>
      </c>
      <c r="K2608" s="51">
        <f t="shared" si="149"/>
        <v>863191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customHeight="1">
      <c r="A2609" s="204" t="str">
        <f>IF(B2609&lt;&gt;"",IF(AND(B2609&gt;=_TM1,B2609&lt;=_TM2,OR(TH!L2609="1111",TH!M2609="1111")),TH!D2609,""),"")</f>
        <v/>
      </c>
      <c r="B2609" s="36">
        <f t="shared" si="148"/>
        <v>5</v>
      </c>
      <c r="C2609" s="48">
        <f t="shared" si="150"/>
        <v>41059</v>
      </c>
      <c r="D2609" s="48" t="s">
        <v>1737</v>
      </c>
      <c r="E2609" s="920">
        <v>41059</v>
      </c>
      <c r="F2609" s="919" t="s">
        <v>1500</v>
      </c>
      <c r="G2609" s="872" t="s">
        <v>1010</v>
      </c>
      <c r="H2609" s="909" t="s">
        <v>1705</v>
      </c>
      <c r="I2609" s="250">
        <v>1</v>
      </c>
      <c r="J2609" s="250">
        <v>10283</v>
      </c>
      <c r="K2609" s="51">
        <f t="shared" si="149"/>
        <v>10283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customHeight="1">
      <c r="A2610" s="204" t="str">
        <f>IF(B2610&lt;&gt;"",IF(AND(B2610&gt;=_TM1,B2610&lt;=_TM2,OR(TH!L2610="1111",TH!M2610="1111")),TH!D2610,""),"")</f>
        <v/>
      </c>
      <c r="B2610" s="36">
        <f t="shared" si="148"/>
        <v>5</v>
      </c>
      <c r="C2610" s="48">
        <f t="shared" si="150"/>
        <v>41059</v>
      </c>
      <c r="D2610" s="48" t="s">
        <v>1737</v>
      </c>
      <c r="E2610" s="920">
        <v>41059</v>
      </c>
      <c r="F2610" s="919" t="s">
        <v>1508</v>
      </c>
      <c r="G2610" s="872" t="s">
        <v>1010</v>
      </c>
      <c r="H2610" s="909" t="s">
        <v>1705</v>
      </c>
      <c r="I2610" s="250">
        <v>5</v>
      </c>
      <c r="J2610" s="250">
        <v>10676</v>
      </c>
      <c r="K2610" s="51">
        <f t="shared" si="149"/>
        <v>53380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customHeight="1">
      <c r="A2611" s="204" t="str">
        <f>IF(B2611&lt;&gt;"",IF(AND(B2611&gt;=_TM1,B2611&lt;=_TM2,OR(TH!L2611="1111",TH!M2611="1111")),TH!D2611,""),"")</f>
        <v/>
      </c>
      <c r="B2611" s="36">
        <f t="shared" si="148"/>
        <v>5</v>
      </c>
      <c r="C2611" s="48">
        <f t="shared" si="150"/>
        <v>41059</v>
      </c>
      <c r="D2611" s="48" t="s">
        <v>1737</v>
      </c>
      <c r="E2611" s="920">
        <v>41059</v>
      </c>
      <c r="F2611" s="919" t="s">
        <v>1506</v>
      </c>
      <c r="G2611" s="872" t="s">
        <v>1010</v>
      </c>
      <c r="H2611" s="909" t="s">
        <v>1705</v>
      </c>
      <c r="I2611" s="250">
        <v>57</v>
      </c>
      <c r="J2611" s="250">
        <v>13340.245614035088</v>
      </c>
      <c r="K2611" s="51">
        <f t="shared" si="149"/>
        <v>760394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customHeight="1">
      <c r="A2612" s="204" t="str">
        <f>IF(B2612&lt;&gt;"",IF(AND(B2612&gt;=_TM1,B2612&lt;=_TM2,OR(TH!L2612="1111",TH!M2612="1111")),TH!D2612,""),"")</f>
        <v/>
      </c>
      <c r="B2612" s="36">
        <f t="shared" si="148"/>
        <v>5</v>
      </c>
      <c r="C2612" s="48">
        <f t="shared" si="150"/>
        <v>41059</v>
      </c>
      <c r="D2612" s="48" t="s">
        <v>1737</v>
      </c>
      <c r="E2612" s="920">
        <v>41059</v>
      </c>
      <c r="F2612" s="919" t="s">
        <v>1535</v>
      </c>
      <c r="G2612" s="872" t="s">
        <v>1010</v>
      </c>
      <c r="H2612" s="909" t="s">
        <v>1705</v>
      </c>
      <c r="I2612" s="250">
        <v>1</v>
      </c>
      <c r="J2612" s="250">
        <v>15631</v>
      </c>
      <c r="K2612" s="51">
        <f t="shared" si="149"/>
        <v>15631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ht="15.75" customHeight="1">
      <c r="A2613" s="204" t="str">
        <f>IF(B2613&lt;&gt;"",IF(AND(B2613&gt;=_TM1,B2613&lt;=_TM2,OR(TH!L2613="1111",TH!M2613="1111")),TH!D2613,""),"")</f>
        <v/>
      </c>
      <c r="B2613" s="36">
        <f t="shared" si="148"/>
        <v>5</v>
      </c>
      <c r="C2613" s="48">
        <f t="shared" si="150"/>
        <v>41059</v>
      </c>
      <c r="D2613" s="48" t="s">
        <v>1737</v>
      </c>
      <c r="E2613" s="920">
        <v>41059</v>
      </c>
      <c r="F2613" s="919" t="s">
        <v>1496</v>
      </c>
      <c r="G2613" s="872" t="s">
        <v>1010</v>
      </c>
      <c r="H2613" s="909" t="s">
        <v>1705</v>
      </c>
      <c r="I2613" s="250">
        <v>152</v>
      </c>
      <c r="J2613" s="250">
        <v>12479.394736842105</v>
      </c>
      <c r="K2613" s="51">
        <f t="shared" si="149"/>
        <v>1896868</v>
      </c>
      <c r="L2613" s="52" t="s">
        <v>177</v>
      </c>
      <c r="M2613" s="52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</row>
    <row r="2614" spans="1:26" ht="15.75" customHeight="1">
      <c r="A2614" s="204" t="str">
        <f>IF(B2614&lt;&gt;"",IF(AND(B2614&gt;=_TM1,B2614&lt;=_TM2,OR(TH!L2614="1111",TH!M2614="1111")),TH!D2614,""),"")</f>
        <v/>
      </c>
      <c r="B2614" s="36">
        <f t="shared" si="148"/>
        <v>5</v>
      </c>
      <c r="C2614" s="48">
        <f t="shared" si="150"/>
        <v>41059</v>
      </c>
      <c r="D2614" s="48" t="s">
        <v>1737</v>
      </c>
      <c r="E2614" s="920">
        <v>41059</v>
      </c>
      <c r="F2614" s="919" t="s">
        <v>1510</v>
      </c>
      <c r="G2614" s="872" t="s">
        <v>1010</v>
      </c>
      <c r="H2614" s="909" t="s">
        <v>1705</v>
      </c>
      <c r="I2614" s="250">
        <v>33</v>
      </c>
      <c r="J2614" s="250">
        <v>14973.666666666666</v>
      </c>
      <c r="K2614" s="51">
        <f t="shared" si="149"/>
        <v>494131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</row>
    <row r="2615" spans="1:26" ht="15.75" customHeight="1">
      <c r="A2615" s="204" t="str">
        <f>IF(B2615&lt;&gt;"",IF(AND(B2615&gt;=_TM1,B2615&lt;=_TM2,OR(TH!L2615="1111",TH!M2615="1111")),TH!D2615,""),"")</f>
        <v/>
      </c>
      <c r="B2615" s="36">
        <f t="shared" si="148"/>
        <v>5</v>
      </c>
      <c r="C2615" s="48">
        <f t="shared" si="150"/>
        <v>41059</v>
      </c>
      <c r="D2615" s="48" t="s">
        <v>1737</v>
      </c>
      <c r="E2615" s="920">
        <v>41059</v>
      </c>
      <c r="F2615" s="919" t="s">
        <v>1526</v>
      </c>
      <c r="G2615" s="872" t="s">
        <v>1010</v>
      </c>
      <c r="H2615" s="909" t="s">
        <v>1705</v>
      </c>
      <c r="I2615" s="250">
        <v>22</v>
      </c>
      <c r="J2615" s="250">
        <v>16382.863636363636</v>
      </c>
      <c r="K2615" s="51">
        <f t="shared" si="149"/>
        <v>360423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</row>
    <row r="2616" spans="1:26" ht="15.75" customHeight="1">
      <c r="A2616" s="204" t="str">
        <f>IF(B2616&lt;&gt;"",IF(AND(B2616&gt;=_TM1,B2616&lt;=_TM2,OR(TH!L2616="1111",TH!M2616="1111")),TH!D2616,""),"")</f>
        <v/>
      </c>
      <c r="B2616" s="36">
        <f t="shared" si="148"/>
        <v>5</v>
      </c>
      <c r="C2616" s="48">
        <f t="shared" si="150"/>
        <v>41059</v>
      </c>
      <c r="D2616" s="48" t="s">
        <v>1737</v>
      </c>
      <c r="E2616" s="920">
        <v>41059</v>
      </c>
      <c r="F2616" s="734" t="s">
        <v>1538</v>
      </c>
      <c r="G2616" s="872" t="s">
        <v>1010</v>
      </c>
      <c r="H2616" s="909" t="s">
        <v>1705</v>
      </c>
      <c r="I2616" s="250">
        <v>86</v>
      </c>
      <c r="J2616" s="250">
        <v>18783.023255813954</v>
      </c>
      <c r="K2616" s="51">
        <f t="shared" si="149"/>
        <v>1615340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</row>
    <row r="2617" spans="1:26" ht="15.75" customHeight="1">
      <c r="A2617" s="204" t="str">
        <f>IF(B2617&lt;&gt;"",IF(AND(B2617&gt;=_TM1,B2617&lt;=_TM2,OR(TH!L2617="1111",TH!M2617="1111")),TH!D2617,""),"")</f>
        <v/>
      </c>
      <c r="B2617" s="36">
        <f t="shared" si="148"/>
        <v>5</v>
      </c>
      <c r="C2617" s="48">
        <f t="shared" si="150"/>
        <v>41059</v>
      </c>
      <c r="D2617" s="48" t="s">
        <v>1737</v>
      </c>
      <c r="E2617" s="920">
        <v>41059</v>
      </c>
      <c r="F2617" s="919" t="s">
        <v>1513</v>
      </c>
      <c r="G2617" s="872" t="s">
        <v>1010</v>
      </c>
      <c r="H2617" s="909" t="s">
        <v>1705</v>
      </c>
      <c r="I2617" s="250">
        <v>91</v>
      </c>
      <c r="J2617" s="250">
        <v>15174.065934065935</v>
      </c>
      <c r="K2617" s="51">
        <f t="shared" si="149"/>
        <v>1380840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</row>
    <row r="2618" spans="1:26" ht="15.75" customHeight="1">
      <c r="A2618" s="204" t="str">
        <f>IF(B2618&lt;&gt;"",IF(AND(B2618&gt;=_TM1,B2618&lt;=_TM2,OR(TH!L2618="1111",TH!M2618="1111")),TH!D2618,""),"")</f>
        <v/>
      </c>
      <c r="B2618" s="36">
        <f t="shared" si="148"/>
        <v>5</v>
      </c>
      <c r="C2618" s="48">
        <f t="shared" si="150"/>
        <v>41059</v>
      </c>
      <c r="D2618" s="48" t="s">
        <v>1737</v>
      </c>
      <c r="E2618" s="920">
        <v>41059</v>
      </c>
      <c r="F2618" s="919" t="s">
        <v>1532</v>
      </c>
      <c r="G2618" s="872" t="s">
        <v>1010</v>
      </c>
      <c r="H2618" s="909" t="s">
        <v>1705</v>
      </c>
      <c r="I2618" s="250">
        <v>239</v>
      </c>
      <c r="J2618" s="250">
        <v>25470.476987447699</v>
      </c>
      <c r="K2618" s="51">
        <f t="shared" si="149"/>
        <v>6087444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</row>
    <row r="2619" spans="1:26" ht="15.75" customHeight="1">
      <c r="A2619" s="204" t="str">
        <f>IF(B2619&lt;&gt;"",IF(AND(B2619&gt;=_TM1,B2619&lt;=_TM2,OR(TH!L2619="1111",TH!M2619="1111")),TH!D2619,""),"")</f>
        <v/>
      </c>
      <c r="B2619" s="36">
        <f t="shared" si="148"/>
        <v>5</v>
      </c>
      <c r="C2619" s="48">
        <f t="shared" si="150"/>
        <v>41059</v>
      </c>
      <c r="D2619" s="48" t="s">
        <v>1737</v>
      </c>
      <c r="E2619" s="920">
        <v>41059</v>
      </c>
      <c r="F2619" s="919" t="s">
        <v>1516</v>
      </c>
      <c r="G2619" s="872" t="s">
        <v>1010</v>
      </c>
      <c r="H2619" s="909" t="s">
        <v>1705</v>
      </c>
      <c r="I2619" s="250">
        <v>36</v>
      </c>
      <c r="J2619" s="250">
        <v>18978.027777777777</v>
      </c>
      <c r="K2619" s="51">
        <f t="shared" si="149"/>
        <v>683209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</row>
    <row r="2620" spans="1:26" ht="15.75" customHeight="1">
      <c r="A2620" s="204" t="str">
        <f>IF(B2620&lt;&gt;"",IF(AND(B2620&gt;=_TM1,B2620&lt;=_TM2,OR(TH!L2620="1111",TH!M2620="1111")),TH!D2620,""),"")</f>
        <v/>
      </c>
      <c r="B2620" s="36">
        <f t="shared" si="148"/>
        <v>5</v>
      </c>
      <c r="C2620" s="48">
        <f t="shared" si="150"/>
        <v>41059</v>
      </c>
      <c r="D2620" s="48" t="s">
        <v>1737</v>
      </c>
      <c r="E2620" s="920">
        <v>41059</v>
      </c>
      <c r="F2620" s="919" t="s">
        <v>1523</v>
      </c>
      <c r="G2620" s="872" t="s">
        <v>1010</v>
      </c>
      <c r="H2620" s="909" t="s">
        <v>1705</v>
      </c>
      <c r="I2620" s="250">
        <v>2</v>
      </c>
      <c r="J2620" s="250">
        <v>16929.5</v>
      </c>
      <c r="K2620" s="51">
        <f t="shared" si="149"/>
        <v>33859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</row>
    <row r="2621" spans="1:26" ht="15.75" customHeight="1">
      <c r="A2621" s="204" t="str">
        <f>IF(B2621&lt;&gt;"",IF(AND(B2621&gt;=_TM1,B2621&lt;=_TM2,OR(TH!L2621="1111",TH!M2621="1111")),TH!D2621,""),"")</f>
        <v/>
      </c>
      <c r="B2621" s="36">
        <f t="shared" si="148"/>
        <v>5</v>
      </c>
      <c r="C2621" s="48">
        <f t="shared" si="150"/>
        <v>41059</v>
      </c>
      <c r="D2621" s="48" t="s">
        <v>1737</v>
      </c>
      <c r="E2621" s="920">
        <v>41059</v>
      </c>
      <c r="F2621" s="919" t="s">
        <v>1524</v>
      </c>
      <c r="G2621" s="872" t="s">
        <v>1010</v>
      </c>
      <c r="H2621" s="909" t="s">
        <v>1705</v>
      </c>
      <c r="I2621" s="250">
        <v>46</v>
      </c>
      <c r="J2621" s="250">
        <v>21193.978260869564</v>
      </c>
      <c r="K2621" s="51">
        <f t="shared" si="149"/>
        <v>974923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</row>
    <row r="2622" spans="1:26" ht="15.75" customHeight="1">
      <c r="A2622" s="204" t="str">
        <f>IF(B2622&lt;&gt;"",IF(AND(B2622&gt;=_TM1,B2622&lt;=_TM2,OR(TH!L2622="1111",TH!M2622="1111")),TH!D2622,""),"")</f>
        <v/>
      </c>
      <c r="B2622" s="36">
        <f t="shared" si="148"/>
        <v>5</v>
      </c>
      <c r="C2622" s="48">
        <f t="shared" si="150"/>
        <v>41059</v>
      </c>
      <c r="D2622" s="48" t="s">
        <v>1737</v>
      </c>
      <c r="E2622" s="920">
        <v>41059</v>
      </c>
      <c r="F2622" s="919" t="s">
        <v>1180</v>
      </c>
      <c r="G2622" s="872" t="s">
        <v>1011</v>
      </c>
      <c r="H2622" s="909" t="s">
        <v>1705</v>
      </c>
      <c r="I2622" s="250">
        <v>219</v>
      </c>
      <c r="J2622" s="250">
        <v>10669.246575342466</v>
      </c>
      <c r="K2622" s="51">
        <f t="shared" si="149"/>
        <v>2336565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</row>
    <row r="2623" spans="1:26" ht="15.75" customHeight="1">
      <c r="A2623" s="204" t="str">
        <f>IF(B2623&lt;&gt;"",IF(AND(B2623&gt;=_TM1,B2623&lt;=_TM2,OR(TH!L2623="1111",TH!M2623="1111")),TH!D2623,""),"")</f>
        <v/>
      </c>
      <c r="B2623" s="36">
        <f t="shared" si="148"/>
        <v>5</v>
      </c>
      <c r="C2623" s="48">
        <f t="shared" si="150"/>
        <v>41060</v>
      </c>
      <c r="D2623" s="48" t="s">
        <v>1737</v>
      </c>
      <c r="E2623" s="920">
        <v>41060</v>
      </c>
      <c r="F2623" s="921" t="s">
        <v>1121</v>
      </c>
      <c r="G2623" s="872" t="s">
        <v>1013</v>
      </c>
      <c r="H2623" s="909" t="s">
        <v>1705</v>
      </c>
      <c r="I2623" s="250">
        <v>488</v>
      </c>
      <c r="J2623" s="250">
        <v>7708.3565573770493</v>
      </c>
      <c r="K2623" s="51">
        <f t="shared" si="149"/>
        <v>3761678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</row>
    <row r="2624" spans="1:26" ht="15.75" customHeight="1">
      <c r="A2624" s="204" t="str">
        <f>IF(B2624&lt;&gt;"",IF(AND(B2624&gt;=_TM1,B2624&lt;=_TM2,OR(TH!L2624="1111",TH!M2624="1111")),TH!D2624,""),"")</f>
        <v/>
      </c>
      <c r="B2624" s="36">
        <f t="shared" si="148"/>
        <v>5</v>
      </c>
      <c r="C2624" s="48">
        <f t="shared" si="150"/>
        <v>41060</v>
      </c>
      <c r="D2624" s="48" t="s">
        <v>1737</v>
      </c>
      <c r="E2624" s="920">
        <v>41060</v>
      </c>
      <c r="F2624" s="919" t="s">
        <v>551</v>
      </c>
      <c r="G2624" s="872" t="s">
        <v>1014</v>
      </c>
      <c r="H2624" s="909" t="s">
        <v>1705</v>
      </c>
      <c r="I2624" s="250">
        <v>3000</v>
      </c>
      <c r="J2624" s="250">
        <v>4296.7076666666662</v>
      </c>
      <c r="K2624" s="51">
        <f t="shared" si="149"/>
        <v>12890123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</row>
    <row r="2625" spans="1:26" ht="15.75" customHeight="1">
      <c r="A2625" s="204" t="str">
        <f>IF(B2625&lt;&gt;"",IF(AND(B2625&gt;=_TM1,B2625&lt;=_TM2,OR(TH!L2625="1111",TH!M2625="1111")),TH!D2625,""),"")</f>
        <v/>
      </c>
      <c r="B2625" s="36">
        <f t="shared" si="148"/>
        <v>5</v>
      </c>
      <c r="C2625" s="48">
        <f t="shared" si="150"/>
        <v>41060</v>
      </c>
      <c r="D2625" s="48" t="s">
        <v>1737</v>
      </c>
      <c r="E2625" s="920">
        <v>41060</v>
      </c>
      <c r="F2625" s="919" t="s">
        <v>552</v>
      </c>
      <c r="G2625" s="872" t="s">
        <v>1016</v>
      </c>
      <c r="H2625" s="909" t="s">
        <v>1705</v>
      </c>
      <c r="I2625" s="250">
        <v>546</v>
      </c>
      <c r="J2625" s="250">
        <v>12210.655677655677</v>
      </c>
      <c r="K2625" s="51">
        <f t="shared" si="149"/>
        <v>6667018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</row>
    <row r="2626" spans="1:26" ht="15.75" customHeight="1">
      <c r="A2626" s="204" t="str">
        <f>IF(B2626&lt;&gt;"",IF(AND(B2626&gt;=_TM1,B2626&lt;=_TM2,OR(TH!L2626="1111",TH!M2626="1111")),TH!D2626,""),"")</f>
        <v/>
      </c>
      <c r="B2626" s="36">
        <f t="shared" si="148"/>
        <v>6</v>
      </c>
      <c r="C2626" s="48">
        <f t="shared" si="150"/>
        <v>41061</v>
      </c>
      <c r="D2626" s="48" t="s">
        <v>1737</v>
      </c>
      <c r="E2626" s="920">
        <v>41061</v>
      </c>
      <c r="F2626" s="919" t="s">
        <v>1178</v>
      </c>
      <c r="G2626" s="872" t="s">
        <v>1017</v>
      </c>
      <c r="H2626" s="909" t="s">
        <v>1705</v>
      </c>
      <c r="I2626" s="250">
        <v>620</v>
      </c>
      <c r="J2626" s="250">
        <v>7009.9435483870966</v>
      </c>
      <c r="K2626" s="51">
        <f t="shared" si="149"/>
        <v>4346165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</row>
    <row r="2627" spans="1:26" ht="15.75" customHeight="1">
      <c r="A2627" s="204" t="str">
        <f>IF(B2627&lt;&gt;"",IF(AND(B2627&gt;=_TM1,B2627&lt;=_TM2,OR(TH!L2627="1111",TH!M2627="1111")),TH!D2627,""),"")</f>
        <v/>
      </c>
      <c r="B2627" s="36">
        <f t="shared" si="148"/>
        <v>6</v>
      </c>
      <c r="C2627" s="48">
        <f t="shared" si="150"/>
        <v>41061</v>
      </c>
      <c r="D2627" s="48" t="s">
        <v>1737</v>
      </c>
      <c r="E2627" s="920">
        <v>41061</v>
      </c>
      <c r="F2627" s="919" t="s">
        <v>1177</v>
      </c>
      <c r="G2627" s="872" t="s">
        <v>1017</v>
      </c>
      <c r="H2627" s="909" t="s">
        <v>1705</v>
      </c>
      <c r="I2627" s="250">
        <v>196</v>
      </c>
      <c r="J2627" s="250">
        <v>7310.1224489795923</v>
      </c>
      <c r="K2627" s="51">
        <f t="shared" si="149"/>
        <v>1432784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</row>
    <row r="2628" spans="1:26" ht="15.75" customHeight="1">
      <c r="A2628" s="204" t="str">
        <f>IF(B2628&lt;&gt;"",IF(AND(B2628&gt;=_TM1,B2628&lt;=_TM2,OR(TH!L2628="1111",TH!M2628="1111")),TH!D2628,""),"")</f>
        <v/>
      </c>
      <c r="B2628" s="36">
        <f t="shared" si="148"/>
        <v>6</v>
      </c>
      <c r="C2628" s="48">
        <f t="shared" si="150"/>
        <v>41071</v>
      </c>
      <c r="D2628" s="48" t="s">
        <v>1737</v>
      </c>
      <c r="E2628" s="920">
        <v>41071</v>
      </c>
      <c r="F2628" s="49" t="s">
        <v>1145</v>
      </c>
      <c r="G2628" s="872" t="s">
        <v>1019</v>
      </c>
      <c r="H2628" s="909" t="s">
        <v>1705</v>
      </c>
      <c r="I2628" s="250">
        <v>452</v>
      </c>
      <c r="J2628" s="250">
        <v>10976.03982300885</v>
      </c>
      <c r="K2628" s="51">
        <f t="shared" si="149"/>
        <v>4961170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</row>
    <row r="2629" spans="1:26" ht="15.75" customHeight="1">
      <c r="A2629" s="204" t="str">
        <f>IF(B2629&lt;&gt;"",IF(AND(B2629&gt;=_TM1,B2629&lt;=_TM2,OR(TH!L2629="1111",TH!M2629="1111")),TH!D2629,""),"")</f>
        <v/>
      </c>
      <c r="B2629" s="36">
        <f t="shared" si="148"/>
        <v>6</v>
      </c>
      <c r="C2629" s="48">
        <f t="shared" si="150"/>
        <v>41071</v>
      </c>
      <c r="D2629" s="48" t="s">
        <v>1737</v>
      </c>
      <c r="E2629" s="920">
        <v>41071</v>
      </c>
      <c r="F2629" s="49" t="s">
        <v>1220</v>
      </c>
      <c r="G2629" s="872" t="s">
        <v>1019</v>
      </c>
      <c r="H2629" s="909" t="s">
        <v>1705</v>
      </c>
      <c r="I2629" s="250">
        <v>180</v>
      </c>
      <c r="J2629" s="250">
        <v>6761.3166666666666</v>
      </c>
      <c r="K2629" s="51">
        <f t="shared" si="149"/>
        <v>1217037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</row>
    <row r="2630" spans="1:26" ht="15.75" customHeight="1">
      <c r="A2630" s="204" t="str">
        <f>IF(B2630&lt;&gt;"",IF(AND(B2630&gt;=_TM1,B2630&lt;=_TM2,OR(TH!L2630="1111",TH!M2630="1111")),TH!D2630,""),"")</f>
        <v/>
      </c>
      <c r="B2630" s="36">
        <f t="shared" si="148"/>
        <v>6</v>
      </c>
      <c r="C2630" s="48">
        <f t="shared" si="150"/>
        <v>41071</v>
      </c>
      <c r="D2630" s="48" t="s">
        <v>1737</v>
      </c>
      <c r="E2630" s="920">
        <v>41071</v>
      </c>
      <c r="F2630" s="734" t="s">
        <v>1150</v>
      </c>
      <c r="G2630" s="872" t="s">
        <v>1019</v>
      </c>
      <c r="H2630" s="909" t="s">
        <v>1705</v>
      </c>
      <c r="I2630" s="250">
        <v>206</v>
      </c>
      <c r="J2630" s="250">
        <v>7028.5631067961167</v>
      </c>
      <c r="K2630" s="51">
        <f t="shared" si="149"/>
        <v>1447884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</row>
    <row r="2631" spans="1:26" ht="15.75" customHeight="1">
      <c r="A2631" s="204" t="str">
        <f>IF(B2631&lt;&gt;"",IF(AND(B2631&gt;=_TM1,B2631&lt;=_TM2,OR(TH!L2631="1111",TH!M2631="1111")),TH!D2631,""),"")</f>
        <v/>
      </c>
      <c r="B2631" s="36">
        <f t="shared" si="148"/>
        <v>6</v>
      </c>
      <c r="C2631" s="48">
        <f t="shared" si="150"/>
        <v>41072</v>
      </c>
      <c r="D2631" s="48" t="s">
        <v>1737</v>
      </c>
      <c r="E2631" s="920">
        <v>41072</v>
      </c>
      <c r="F2631" s="919" t="s">
        <v>1176</v>
      </c>
      <c r="G2631" s="872" t="s">
        <v>1020</v>
      </c>
      <c r="H2631" s="909" t="s">
        <v>1705</v>
      </c>
      <c r="I2631" s="250">
        <v>2220</v>
      </c>
      <c r="J2631" s="250">
        <v>5108.8315315315313</v>
      </c>
      <c r="K2631" s="51">
        <f t="shared" si="149"/>
        <v>11341606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</row>
    <row r="2632" spans="1:26" ht="15.75" customHeight="1">
      <c r="A2632" s="204" t="str">
        <f>IF(B2632&lt;&gt;"",IF(AND(B2632&gt;=_TM1,B2632&lt;=_TM2,OR(TH!L2632="1111",TH!M2632="1111")),TH!D2632,""),"")</f>
        <v/>
      </c>
      <c r="B2632" s="36">
        <f t="shared" si="148"/>
        <v>6</v>
      </c>
      <c r="C2632" s="48">
        <f t="shared" si="150"/>
        <v>41072</v>
      </c>
      <c r="D2632" s="48" t="s">
        <v>1737</v>
      </c>
      <c r="E2632" s="920">
        <v>41072</v>
      </c>
      <c r="F2632" s="919" t="s">
        <v>1175</v>
      </c>
      <c r="G2632" s="872" t="s">
        <v>1021</v>
      </c>
      <c r="H2632" s="909" t="s">
        <v>1705</v>
      </c>
      <c r="I2632" s="250">
        <v>1110</v>
      </c>
      <c r="J2632" s="250">
        <v>6585.9612612612609</v>
      </c>
      <c r="K2632" s="51">
        <f t="shared" si="149"/>
        <v>7310417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</row>
    <row r="2633" spans="1:26" ht="15.75" customHeight="1">
      <c r="A2633" s="204" t="str">
        <f>IF(B2633&lt;&gt;"",IF(AND(B2633&gt;=_TM1,B2633&lt;=_TM2,OR(TH!L2633="1111",TH!M2633="1111")),TH!D2633,""),"")</f>
        <v/>
      </c>
      <c r="B2633" s="36">
        <f t="shared" ref="B2633:B2686" si="151">IF(C2633&lt;&gt;"",MONTH(C2633),"")</f>
        <v>6</v>
      </c>
      <c r="C2633" s="48">
        <f t="shared" si="150"/>
        <v>41083</v>
      </c>
      <c r="D2633" s="48" t="s">
        <v>1737</v>
      </c>
      <c r="E2633" s="920">
        <v>41083</v>
      </c>
      <c r="F2633" s="919" t="s">
        <v>1174</v>
      </c>
      <c r="G2633" s="872" t="s">
        <v>1023</v>
      </c>
      <c r="H2633" s="909" t="s">
        <v>1705</v>
      </c>
      <c r="I2633" s="250">
        <v>1010</v>
      </c>
      <c r="J2633" s="250">
        <v>6578.8128712871285</v>
      </c>
      <c r="K2633" s="51">
        <f t="shared" si="149"/>
        <v>6644601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</row>
    <row r="2634" spans="1:26" ht="15.75" customHeight="1">
      <c r="A2634" s="204" t="str">
        <f>IF(B2634&lt;&gt;"",IF(AND(B2634&gt;=_TM1,B2634&lt;=_TM2,OR(TH!L2634="1111",TH!M2634="1111")),TH!D2634,""),"")</f>
        <v/>
      </c>
      <c r="B2634" s="36">
        <f t="shared" si="151"/>
        <v>6</v>
      </c>
      <c r="C2634" s="48">
        <f t="shared" si="150"/>
        <v>41086</v>
      </c>
      <c r="D2634" s="48" t="s">
        <v>1737</v>
      </c>
      <c r="E2634" s="920">
        <v>41086</v>
      </c>
      <c r="F2634" s="919" t="s">
        <v>1173</v>
      </c>
      <c r="G2634" s="872" t="s">
        <v>1024</v>
      </c>
      <c r="H2634" s="909" t="s">
        <v>1705</v>
      </c>
      <c r="I2634" s="250">
        <v>1884</v>
      </c>
      <c r="J2634" s="250">
        <v>8595.1491507431001</v>
      </c>
      <c r="K2634" s="51">
        <f t="shared" ref="K2634:K2687" si="152">ROUND(I2634*J2634,0)</f>
        <v>16193261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</row>
    <row r="2635" spans="1:26" ht="15.75" customHeight="1">
      <c r="A2635" s="204" t="str">
        <f>IF(B2635&lt;&gt;"",IF(AND(B2635&gt;=_TM1,B2635&lt;=_TM2,OR(TH!L2635="1111",TH!M2635="1111")),TH!D2635,""),"")</f>
        <v/>
      </c>
      <c r="B2635" s="36">
        <f t="shared" si="151"/>
        <v>6</v>
      </c>
      <c r="C2635" s="48">
        <f t="shared" si="150"/>
        <v>41086</v>
      </c>
      <c r="D2635" s="48" t="s">
        <v>1737</v>
      </c>
      <c r="E2635" s="920">
        <v>41086</v>
      </c>
      <c r="F2635" s="919" t="s">
        <v>1172</v>
      </c>
      <c r="G2635" s="872" t="s">
        <v>1025</v>
      </c>
      <c r="H2635" s="909" t="s">
        <v>1705</v>
      </c>
      <c r="I2635" s="250">
        <v>505</v>
      </c>
      <c r="J2635" s="250">
        <v>10282.772277227723</v>
      </c>
      <c r="K2635" s="51">
        <f t="shared" si="152"/>
        <v>5192800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</row>
    <row r="2636" spans="1:26" ht="15.75" customHeight="1">
      <c r="A2636" s="204" t="str">
        <f>IF(B2636&lt;&gt;"",IF(AND(B2636&gt;=_TM1,B2636&lt;=_TM2,OR(TH!L2636="1111",TH!M2636="1111")),TH!D2636,""),"")</f>
        <v/>
      </c>
      <c r="B2636" s="36">
        <f t="shared" si="151"/>
        <v>6</v>
      </c>
      <c r="C2636" s="48">
        <f t="shared" si="150"/>
        <v>41086</v>
      </c>
      <c r="D2636" s="48" t="s">
        <v>1737</v>
      </c>
      <c r="E2636" s="920">
        <v>41086</v>
      </c>
      <c r="F2636" s="919" t="s">
        <v>1171</v>
      </c>
      <c r="G2636" s="872" t="s">
        <v>1025</v>
      </c>
      <c r="H2636" s="909" t="s">
        <v>1705</v>
      </c>
      <c r="I2636" s="250">
        <v>985</v>
      </c>
      <c r="J2636" s="250">
        <v>14708.507614213198</v>
      </c>
      <c r="K2636" s="51">
        <f t="shared" si="152"/>
        <v>14487880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</row>
    <row r="2637" spans="1:26" ht="15.75" customHeight="1">
      <c r="A2637" s="204" t="str">
        <f>IF(B2637&lt;&gt;"",IF(AND(B2637&gt;=_TM1,B2637&lt;=_TM2,OR(TH!L2637="1111",TH!M2637="1111")),TH!D2637,""),"")</f>
        <v/>
      </c>
      <c r="B2637" s="36">
        <f t="shared" si="151"/>
        <v>6</v>
      </c>
      <c r="C2637" s="48">
        <f t="shared" si="150"/>
        <v>41086</v>
      </c>
      <c r="D2637" s="48" t="s">
        <v>1737</v>
      </c>
      <c r="E2637" s="920">
        <v>41086</v>
      </c>
      <c r="F2637" s="919" t="s">
        <v>1496</v>
      </c>
      <c r="G2637" s="872" t="s">
        <v>1027</v>
      </c>
      <c r="H2637" s="909" t="s">
        <v>1705</v>
      </c>
      <c r="I2637" s="250">
        <v>201</v>
      </c>
      <c r="J2637" s="250">
        <v>12516.985074626866</v>
      </c>
      <c r="K2637" s="51">
        <f t="shared" si="152"/>
        <v>2515914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</row>
    <row r="2638" spans="1:26" ht="15.75" customHeight="1">
      <c r="A2638" s="204" t="str">
        <f>IF(B2638&lt;&gt;"",IF(AND(B2638&gt;=_TM1,B2638&lt;=_TM2,OR(TH!L2638="1111",TH!M2638="1111")),TH!D2638,""),"")</f>
        <v/>
      </c>
      <c r="B2638" s="36">
        <f t="shared" si="151"/>
        <v>6</v>
      </c>
      <c r="C2638" s="48">
        <f t="shared" ref="C2638:C2691" si="153">E2638</f>
        <v>41086</v>
      </c>
      <c r="D2638" s="48" t="s">
        <v>1737</v>
      </c>
      <c r="E2638" s="920">
        <v>41086</v>
      </c>
      <c r="F2638" s="919" t="s">
        <v>1510</v>
      </c>
      <c r="G2638" s="872" t="s">
        <v>1027</v>
      </c>
      <c r="H2638" s="909" t="s">
        <v>1705</v>
      </c>
      <c r="I2638" s="250">
        <v>75</v>
      </c>
      <c r="J2638" s="250">
        <v>15339.48</v>
      </c>
      <c r="K2638" s="51">
        <f t="shared" si="152"/>
        <v>1150461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</row>
    <row r="2639" spans="1:26" ht="15.75" customHeight="1">
      <c r="A2639" s="204" t="str">
        <f>IF(B2639&lt;&gt;"",IF(AND(B2639&gt;=_TM1,B2639&lt;=_TM2,OR(TH!L2639="1111",TH!M2639="1111")),TH!D2639,""),"")</f>
        <v/>
      </c>
      <c r="B2639" s="36">
        <f t="shared" si="151"/>
        <v>6</v>
      </c>
      <c r="C2639" s="48">
        <f t="shared" si="153"/>
        <v>41086</v>
      </c>
      <c r="D2639" s="48" t="s">
        <v>1737</v>
      </c>
      <c r="E2639" s="920">
        <v>41086</v>
      </c>
      <c r="F2639" s="919" t="s">
        <v>1526</v>
      </c>
      <c r="G2639" s="872" t="s">
        <v>1027</v>
      </c>
      <c r="H2639" s="909" t="s">
        <v>1705</v>
      </c>
      <c r="I2639" s="250">
        <v>221</v>
      </c>
      <c r="J2639" s="250">
        <v>16117.986425339366</v>
      </c>
      <c r="K2639" s="51">
        <f t="shared" si="152"/>
        <v>3562075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</row>
    <row r="2640" spans="1:26" ht="15.75" customHeight="1">
      <c r="A2640" s="204" t="str">
        <f>IF(B2640&lt;&gt;"",IF(AND(B2640&gt;=_TM1,B2640&lt;=_TM2,OR(TH!L2640="1111",TH!M2640="1111")),TH!D2640,""),"")</f>
        <v/>
      </c>
      <c r="B2640" s="36">
        <f t="shared" si="151"/>
        <v>6</v>
      </c>
      <c r="C2640" s="48">
        <f t="shared" si="153"/>
        <v>41086</v>
      </c>
      <c r="D2640" s="48" t="s">
        <v>1737</v>
      </c>
      <c r="E2640" s="920">
        <v>41086</v>
      </c>
      <c r="F2640" s="919" t="s">
        <v>1538</v>
      </c>
      <c r="G2640" s="872" t="s">
        <v>1027</v>
      </c>
      <c r="H2640" s="909" t="s">
        <v>1705</v>
      </c>
      <c r="I2640" s="250">
        <v>86</v>
      </c>
      <c r="J2640" s="250">
        <v>18783.023255813954</v>
      </c>
      <c r="K2640" s="51">
        <f t="shared" si="152"/>
        <v>1615340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</row>
    <row r="2641" spans="1:26" ht="15.75" customHeight="1">
      <c r="A2641" s="204" t="str">
        <f>IF(B2641&lt;&gt;"",IF(AND(B2641&gt;=_TM1,B2641&lt;=_TM2,OR(TH!L2641="1111",TH!M2641="1111")),TH!D2641,""),"")</f>
        <v/>
      </c>
      <c r="B2641" s="36">
        <f t="shared" si="151"/>
        <v>6</v>
      </c>
      <c r="C2641" s="48">
        <f t="shared" si="153"/>
        <v>41086</v>
      </c>
      <c r="D2641" s="48" t="s">
        <v>1737</v>
      </c>
      <c r="E2641" s="920">
        <v>41086</v>
      </c>
      <c r="F2641" s="919" t="s">
        <v>1513</v>
      </c>
      <c r="G2641" s="872" t="s">
        <v>1027</v>
      </c>
      <c r="H2641" s="909" t="s">
        <v>1705</v>
      </c>
      <c r="I2641" s="250">
        <v>310</v>
      </c>
      <c r="J2641" s="250">
        <v>15741.396774193548</v>
      </c>
      <c r="K2641" s="51">
        <f t="shared" si="152"/>
        <v>4879833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</row>
    <row r="2642" spans="1:26" ht="15.75" customHeight="1">
      <c r="A2642" s="204" t="str">
        <f>IF(B2642&lt;&gt;"",IF(AND(B2642&gt;=_TM1,B2642&lt;=_TM2,OR(TH!L2642="1111",TH!M2642="1111")),TH!D2642,""),"")</f>
        <v/>
      </c>
      <c r="B2642" s="36">
        <f t="shared" si="151"/>
        <v>6</v>
      </c>
      <c r="C2642" s="48">
        <f t="shared" si="153"/>
        <v>41086</v>
      </c>
      <c r="D2642" s="48" t="s">
        <v>1737</v>
      </c>
      <c r="E2642" s="920">
        <v>41086</v>
      </c>
      <c r="F2642" s="919" t="s">
        <v>1532</v>
      </c>
      <c r="G2642" s="872" t="s">
        <v>1027</v>
      </c>
      <c r="H2642" s="909" t="s">
        <v>1705</v>
      </c>
      <c r="I2642" s="250">
        <v>239</v>
      </c>
      <c r="J2642" s="250">
        <v>25470.476987447699</v>
      </c>
      <c r="K2642" s="51">
        <f t="shared" si="152"/>
        <v>6087444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</row>
    <row r="2643" spans="1:26" ht="15.75" customHeight="1">
      <c r="A2643" s="204" t="str">
        <f>IF(B2643&lt;&gt;"",IF(AND(B2643&gt;=_TM1,B2643&lt;=_TM2,OR(TH!L2643="1111",TH!M2643="1111")),TH!D2643,""),"")</f>
        <v/>
      </c>
      <c r="B2643" s="36">
        <f t="shared" si="151"/>
        <v>6</v>
      </c>
      <c r="C2643" s="48">
        <f t="shared" si="153"/>
        <v>41086</v>
      </c>
      <c r="D2643" s="48" t="s">
        <v>1737</v>
      </c>
      <c r="E2643" s="920">
        <v>41086</v>
      </c>
      <c r="F2643" s="919" t="s">
        <v>1512</v>
      </c>
      <c r="G2643" s="872" t="s">
        <v>1027</v>
      </c>
      <c r="H2643" s="909" t="s">
        <v>1705</v>
      </c>
      <c r="I2643" s="250">
        <v>1</v>
      </c>
      <c r="J2643" s="250">
        <v>10283</v>
      </c>
      <c r="K2643" s="51">
        <f t="shared" si="152"/>
        <v>10283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</row>
    <row r="2644" spans="1:26" ht="15.75" customHeight="1">
      <c r="A2644" s="204" t="str">
        <f>IF(B2644&lt;&gt;"",IF(AND(B2644&gt;=_TM1,B2644&lt;=_TM2,OR(TH!L2644="1111",TH!M2644="1111")),TH!D2644,""),"")</f>
        <v/>
      </c>
      <c r="B2644" s="36">
        <f t="shared" si="151"/>
        <v>6</v>
      </c>
      <c r="C2644" s="48">
        <f t="shared" si="153"/>
        <v>41086</v>
      </c>
      <c r="D2644" s="48" t="s">
        <v>1737</v>
      </c>
      <c r="E2644" s="920">
        <v>41086</v>
      </c>
      <c r="F2644" s="919" t="s">
        <v>1516</v>
      </c>
      <c r="G2644" s="872" t="s">
        <v>1027</v>
      </c>
      <c r="H2644" s="909" t="s">
        <v>1705</v>
      </c>
      <c r="I2644" s="250">
        <v>260</v>
      </c>
      <c r="J2644" s="250">
        <v>18978.042307692307</v>
      </c>
      <c r="K2644" s="51">
        <f t="shared" si="152"/>
        <v>4934291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</row>
    <row r="2645" spans="1:26" ht="15.75" customHeight="1">
      <c r="A2645" s="204" t="str">
        <f>IF(B2645&lt;&gt;"",IF(AND(B2645&gt;=_TM1,B2645&lt;=_TM2,OR(TH!L2645="1111",TH!M2645="1111")),TH!D2645,""),"")</f>
        <v/>
      </c>
      <c r="B2645" s="36">
        <f t="shared" si="151"/>
        <v>6</v>
      </c>
      <c r="C2645" s="48">
        <f t="shared" si="153"/>
        <v>41086</v>
      </c>
      <c r="D2645" s="48" t="s">
        <v>1737</v>
      </c>
      <c r="E2645" s="920">
        <v>41086</v>
      </c>
      <c r="F2645" s="919" t="s">
        <v>1523</v>
      </c>
      <c r="G2645" s="872" t="s">
        <v>1027</v>
      </c>
      <c r="H2645" s="909" t="s">
        <v>1705</v>
      </c>
      <c r="I2645" s="250">
        <v>236</v>
      </c>
      <c r="J2645" s="250">
        <v>12634.716101694916</v>
      </c>
      <c r="K2645" s="51">
        <f t="shared" si="152"/>
        <v>2981793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</row>
    <row r="2646" spans="1:26" ht="15.75" customHeight="1">
      <c r="A2646" s="204" t="str">
        <f>IF(B2646&lt;&gt;"",IF(AND(B2646&gt;=_TM1,B2646&lt;=_TM2,OR(TH!L2646="1111",TH!M2646="1111")),TH!D2646,""),"")</f>
        <v/>
      </c>
      <c r="B2646" s="36">
        <f t="shared" si="151"/>
        <v>6</v>
      </c>
      <c r="C2646" s="48">
        <f t="shared" si="153"/>
        <v>41086</v>
      </c>
      <c r="D2646" s="48" t="s">
        <v>1737</v>
      </c>
      <c r="E2646" s="920">
        <v>41086</v>
      </c>
      <c r="F2646" s="919" t="s">
        <v>1524</v>
      </c>
      <c r="G2646" s="872" t="s">
        <v>1027</v>
      </c>
      <c r="H2646" s="909" t="s">
        <v>1705</v>
      </c>
      <c r="I2646" s="250">
        <v>350</v>
      </c>
      <c r="J2646" s="250">
        <v>21478.814285714285</v>
      </c>
      <c r="K2646" s="51">
        <f t="shared" si="152"/>
        <v>7517585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</row>
    <row r="2647" spans="1:26" ht="15.75" customHeight="1">
      <c r="A2647" s="204" t="str">
        <f>IF(B2647&lt;&gt;"",IF(AND(B2647&gt;=_TM1,B2647&lt;=_TM2,OR(TH!L2647="1111",TH!M2647="1111")),TH!D2647,""),"")</f>
        <v/>
      </c>
      <c r="B2647" s="36">
        <f t="shared" si="151"/>
        <v>6</v>
      </c>
      <c r="C2647" s="48">
        <f t="shared" si="153"/>
        <v>41090</v>
      </c>
      <c r="D2647" s="48" t="s">
        <v>1737</v>
      </c>
      <c r="E2647" s="920">
        <v>41090</v>
      </c>
      <c r="F2647" s="919" t="s">
        <v>1501</v>
      </c>
      <c r="G2647" s="872" t="s">
        <v>1028</v>
      </c>
      <c r="H2647" s="909" t="s">
        <v>1705</v>
      </c>
      <c r="I2647" s="250">
        <v>450</v>
      </c>
      <c r="J2647" s="250">
        <v>8039.9288888888887</v>
      </c>
      <c r="K2647" s="51">
        <f t="shared" si="152"/>
        <v>3617968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</row>
    <row r="2648" spans="1:26" ht="15.75" customHeight="1">
      <c r="A2648" s="204" t="str">
        <f>IF(B2648&lt;&gt;"",IF(AND(B2648&gt;=_TM1,B2648&lt;=_TM2,OR(TH!L2648="1111",TH!M2648="1111")),TH!D2648,""),"")</f>
        <v/>
      </c>
      <c r="B2648" s="36">
        <f t="shared" si="151"/>
        <v>6</v>
      </c>
      <c r="C2648" s="48">
        <f t="shared" si="153"/>
        <v>41090</v>
      </c>
      <c r="D2648" s="48" t="s">
        <v>1737</v>
      </c>
      <c r="E2648" s="920">
        <v>41090</v>
      </c>
      <c r="F2648" s="919" t="s">
        <v>1534</v>
      </c>
      <c r="G2648" s="872" t="s">
        <v>1028</v>
      </c>
      <c r="H2648" s="909" t="s">
        <v>1705</v>
      </c>
      <c r="I2648" s="250">
        <v>789</v>
      </c>
      <c r="J2648" s="250">
        <v>8990.2610899873252</v>
      </c>
      <c r="K2648" s="51">
        <f t="shared" si="152"/>
        <v>7093316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</row>
    <row r="2649" spans="1:26" ht="15.75" customHeight="1">
      <c r="A2649" s="204" t="str">
        <f>IF(B2649&lt;&gt;"",IF(AND(B2649&gt;=_TM1,B2649&lt;=_TM2,OR(TH!L2649="1111",TH!M2649="1111")),TH!D2649,""),"")</f>
        <v/>
      </c>
      <c r="B2649" s="36">
        <f t="shared" si="151"/>
        <v>6</v>
      </c>
      <c r="C2649" s="48">
        <f t="shared" si="153"/>
        <v>41090</v>
      </c>
      <c r="D2649" s="48" t="s">
        <v>1737</v>
      </c>
      <c r="E2649" s="920">
        <v>41090</v>
      </c>
      <c r="F2649" s="919" t="s">
        <v>1536</v>
      </c>
      <c r="G2649" s="872" t="s">
        <v>1028</v>
      </c>
      <c r="H2649" s="909" t="s">
        <v>1705</v>
      </c>
      <c r="I2649" s="250">
        <v>902</v>
      </c>
      <c r="J2649" s="250">
        <v>8732.2605321507763</v>
      </c>
      <c r="K2649" s="51">
        <f t="shared" si="152"/>
        <v>7876499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</row>
    <row r="2650" spans="1:26" ht="15.75" customHeight="1">
      <c r="A2650" s="204" t="str">
        <f>IF(B2650&lt;&gt;"",IF(AND(B2650&gt;=_TM1,B2650&lt;=_TM2,OR(TH!L2650="1111",TH!M2650="1111")),TH!D2650,""),"")</f>
        <v/>
      </c>
      <c r="B2650" s="36">
        <f t="shared" si="151"/>
        <v>6</v>
      </c>
      <c r="C2650" s="48">
        <f t="shared" si="153"/>
        <v>41090</v>
      </c>
      <c r="D2650" s="48" t="s">
        <v>1737</v>
      </c>
      <c r="E2650" s="920">
        <v>41090</v>
      </c>
      <c r="F2650" s="919" t="s">
        <v>1539</v>
      </c>
      <c r="G2650" s="872" t="s">
        <v>1028</v>
      </c>
      <c r="H2650" s="909" t="s">
        <v>1705</v>
      </c>
      <c r="I2650" s="250">
        <v>456</v>
      </c>
      <c r="J2650" s="250">
        <v>7341.9627192982452</v>
      </c>
      <c r="K2650" s="51">
        <f t="shared" si="152"/>
        <v>3347935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</row>
    <row r="2651" spans="1:26" ht="15.75" customHeight="1">
      <c r="A2651" s="204" t="str">
        <f>IF(B2651&lt;&gt;"",IF(AND(B2651&gt;=_TM1,B2651&lt;=_TM2,OR(TH!L2651="1111",TH!M2651="1111")),TH!D2651,""),"")</f>
        <v/>
      </c>
      <c r="B2651" s="36">
        <f t="shared" si="151"/>
        <v>6</v>
      </c>
      <c r="C2651" s="48">
        <f t="shared" si="153"/>
        <v>41090</v>
      </c>
      <c r="D2651" s="48" t="s">
        <v>1737</v>
      </c>
      <c r="E2651" s="920">
        <v>41090</v>
      </c>
      <c r="F2651" s="919" t="s">
        <v>1527</v>
      </c>
      <c r="G2651" s="872" t="s">
        <v>1028</v>
      </c>
      <c r="H2651" s="909" t="s">
        <v>1705</v>
      </c>
      <c r="I2651" s="250">
        <v>480</v>
      </c>
      <c r="J2651" s="250">
        <v>9792.0416666666661</v>
      </c>
      <c r="K2651" s="51">
        <f t="shared" si="152"/>
        <v>4700180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</row>
    <row r="2652" spans="1:26" ht="15.75" customHeight="1">
      <c r="A2652" s="204" t="str">
        <f>IF(B2652&lt;&gt;"",IF(AND(B2652&gt;=_TM1,B2652&lt;=_TM2,OR(TH!L2652="1111",TH!M2652="1111")),TH!D2652,""),"")</f>
        <v/>
      </c>
      <c r="B2652" s="36">
        <f t="shared" si="151"/>
        <v>6</v>
      </c>
      <c r="C2652" s="48">
        <f t="shared" si="153"/>
        <v>41090</v>
      </c>
      <c r="D2652" s="48" t="s">
        <v>1737</v>
      </c>
      <c r="E2652" s="920">
        <v>41090</v>
      </c>
      <c r="F2652" s="919" t="s">
        <v>1527</v>
      </c>
      <c r="G2652" s="872" t="s">
        <v>1028</v>
      </c>
      <c r="H2652" s="909" t="s">
        <v>1705</v>
      </c>
      <c r="I2652" s="250">
        <v>579</v>
      </c>
      <c r="J2652" s="250">
        <v>10463.658031088084</v>
      </c>
      <c r="K2652" s="51">
        <f t="shared" si="152"/>
        <v>6058458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</row>
    <row r="2653" spans="1:26" ht="15.75" customHeight="1">
      <c r="A2653" s="204" t="str">
        <f>IF(B2653&lt;&gt;"",IF(AND(B2653&gt;=_TM1,B2653&lt;=_TM2,OR(TH!L2653="1111",TH!M2653="1111")),TH!D2653,""),"")</f>
        <v/>
      </c>
      <c r="B2653" s="36">
        <f t="shared" si="151"/>
        <v>6</v>
      </c>
      <c r="C2653" s="48">
        <f t="shared" si="153"/>
        <v>41090</v>
      </c>
      <c r="D2653" s="48" t="s">
        <v>1737</v>
      </c>
      <c r="E2653" s="920">
        <v>41090</v>
      </c>
      <c r="F2653" s="919" t="s">
        <v>1503</v>
      </c>
      <c r="G2653" s="872" t="s">
        <v>1028</v>
      </c>
      <c r="H2653" s="909" t="s">
        <v>1705</v>
      </c>
      <c r="I2653" s="250">
        <v>170</v>
      </c>
      <c r="J2653" s="250">
        <v>8066.3352941176472</v>
      </c>
      <c r="K2653" s="51">
        <f t="shared" si="152"/>
        <v>1371277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</row>
    <row r="2654" spans="1:26" ht="15.75" customHeight="1">
      <c r="A2654" s="204" t="str">
        <f>IF(B2654&lt;&gt;"",IF(AND(B2654&gt;=_TM1,B2654&lt;=_TM2,OR(TH!L2654="1111",TH!M2654="1111")),TH!D2654,""),"")</f>
        <v/>
      </c>
      <c r="B2654" s="36">
        <f t="shared" si="151"/>
        <v>6</v>
      </c>
      <c r="C2654" s="48">
        <f t="shared" si="153"/>
        <v>41090</v>
      </c>
      <c r="D2654" s="48" t="s">
        <v>1737</v>
      </c>
      <c r="E2654" s="920">
        <v>41090</v>
      </c>
      <c r="F2654" s="919" t="s">
        <v>1512</v>
      </c>
      <c r="G2654" s="872" t="s">
        <v>1028</v>
      </c>
      <c r="H2654" s="909" t="s">
        <v>1705</v>
      </c>
      <c r="I2654" s="250">
        <v>260</v>
      </c>
      <c r="J2654" s="250">
        <v>8894.3576923076926</v>
      </c>
      <c r="K2654" s="51">
        <f t="shared" si="152"/>
        <v>2312533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</row>
    <row r="2655" spans="1:26" ht="15.75" customHeight="1">
      <c r="A2655" s="204" t="str">
        <f>IF(B2655&lt;&gt;"",IF(AND(B2655&gt;=_TM1,B2655&lt;=_TM2,OR(TH!L2655="1111",TH!M2655="1111")),TH!D2655,""),"")</f>
        <v/>
      </c>
      <c r="B2655" s="36">
        <f t="shared" si="151"/>
        <v>6</v>
      </c>
      <c r="C2655" s="48">
        <f t="shared" si="153"/>
        <v>41090</v>
      </c>
      <c r="D2655" s="48" t="s">
        <v>1737</v>
      </c>
      <c r="E2655" s="920">
        <v>41090</v>
      </c>
      <c r="F2655" s="919" t="s">
        <v>1515</v>
      </c>
      <c r="G2655" s="872" t="s">
        <v>1028</v>
      </c>
      <c r="H2655" s="909" t="s">
        <v>1705</v>
      </c>
      <c r="I2655" s="250">
        <v>245</v>
      </c>
      <c r="J2655" s="250">
        <v>12031.040816326531</v>
      </c>
      <c r="K2655" s="51">
        <f t="shared" si="152"/>
        <v>2947605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</row>
    <row r="2656" spans="1:26" ht="15.75" customHeight="1">
      <c r="A2656" s="204" t="str">
        <f>IF(B2656&lt;&gt;"",IF(AND(B2656&gt;=_TM1,B2656&lt;=_TM2,OR(TH!L2656="1111",TH!M2656="1111")),TH!D2656,""),"")</f>
        <v/>
      </c>
      <c r="B2656" s="36">
        <f t="shared" si="151"/>
        <v>6</v>
      </c>
      <c r="C2656" s="48">
        <f t="shared" si="153"/>
        <v>41090</v>
      </c>
      <c r="D2656" s="48" t="s">
        <v>1737</v>
      </c>
      <c r="E2656" s="920">
        <v>41090</v>
      </c>
      <c r="F2656" s="919" t="s">
        <v>1540</v>
      </c>
      <c r="G2656" s="872" t="s">
        <v>1028</v>
      </c>
      <c r="H2656" s="909" t="s">
        <v>1705</v>
      </c>
      <c r="I2656" s="250">
        <v>540</v>
      </c>
      <c r="J2656" s="250">
        <v>12031.04074074074</v>
      </c>
      <c r="K2656" s="51">
        <f t="shared" si="152"/>
        <v>6496762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</row>
    <row r="2657" spans="1:26" ht="15.75" customHeight="1">
      <c r="A2657" s="204" t="str">
        <f>IF(B2657&lt;&gt;"",IF(AND(B2657&gt;=_TM1,B2657&lt;=_TM2,OR(TH!L2657="1111",TH!M2657="1111")),TH!D2657,""),"")</f>
        <v/>
      </c>
      <c r="B2657" s="36">
        <f t="shared" si="151"/>
        <v>6</v>
      </c>
      <c r="C2657" s="48">
        <f t="shared" si="153"/>
        <v>41090</v>
      </c>
      <c r="D2657" s="48" t="s">
        <v>1737</v>
      </c>
      <c r="E2657" s="920">
        <v>41090</v>
      </c>
      <c r="F2657" s="919" t="s">
        <v>1502</v>
      </c>
      <c r="G2657" s="872" t="s">
        <v>1028</v>
      </c>
      <c r="H2657" s="909" t="s">
        <v>1705</v>
      </c>
      <c r="I2657" s="250">
        <v>580</v>
      </c>
      <c r="J2657" s="250">
        <v>8783.4551724137928</v>
      </c>
      <c r="K2657" s="51">
        <f t="shared" si="152"/>
        <v>5094404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</row>
    <row r="2658" spans="1:26" ht="15.75" customHeight="1">
      <c r="A2658" s="204" t="str">
        <f>IF(B2658&lt;&gt;"",IF(AND(B2658&gt;=_TM1,B2658&lt;=_TM2,OR(TH!L2658="1111",TH!M2658="1111")),TH!D2658,""),"")</f>
        <v/>
      </c>
      <c r="B2658" s="36">
        <f t="shared" si="151"/>
        <v>6</v>
      </c>
      <c r="C2658" s="48">
        <f t="shared" si="153"/>
        <v>41090</v>
      </c>
      <c r="D2658" s="48" t="s">
        <v>1737</v>
      </c>
      <c r="E2658" s="920">
        <v>41090</v>
      </c>
      <c r="F2658" s="919" t="s">
        <v>1537</v>
      </c>
      <c r="G2658" s="872" t="s">
        <v>1028</v>
      </c>
      <c r="H2658" s="909" t="s">
        <v>1705</v>
      </c>
      <c r="I2658" s="250">
        <v>470</v>
      </c>
      <c r="J2658" s="250">
        <v>7793.1042553191492</v>
      </c>
      <c r="K2658" s="51">
        <f t="shared" si="152"/>
        <v>3662759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</row>
    <row r="2659" spans="1:26" ht="15.75" customHeight="1">
      <c r="A2659" s="204" t="str">
        <f>IF(B2659&lt;&gt;"",IF(AND(B2659&gt;=_TM1,B2659&lt;=_TM2,OR(TH!L2659="1111",TH!M2659="1111")),TH!D2659,""),"")</f>
        <v/>
      </c>
      <c r="B2659" s="36">
        <f t="shared" si="151"/>
        <v>6</v>
      </c>
      <c r="C2659" s="48">
        <f t="shared" si="153"/>
        <v>41090</v>
      </c>
      <c r="D2659" s="48" t="s">
        <v>1737</v>
      </c>
      <c r="E2659" s="920">
        <v>41090</v>
      </c>
      <c r="F2659" s="919" t="s">
        <v>1514</v>
      </c>
      <c r="G2659" s="872" t="s">
        <v>1028</v>
      </c>
      <c r="H2659" s="909" t="s">
        <v>1705</v>
      </c>
      <c r="I2659" s="250">
        <v>170</v>
      </c>
      <c r="J2659" s="250">
        <v>13251.488235294117</v>
      </c>
      <c r="K2659" s="51">
        <f t="shared" si="152"/>
        <v>2252753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</row>
    <row r="2660" spans="1:26" ht="15.75" customHeight="1">
      <c r="A2660" s="204" t="str">
        <f>IF(B2660&lt;&gt;"",IF(AND(B2660&gt;=_TM1,B2660&lt;=_TM2,OR(TH!L2660="1111",TH!M2660="1111")),TH!D2660,""),"")</f>
        <v/>
      </c>
      <c r="B2660" s="36">
        <f t="shared" si="151"/>
        <v>6</v>
      </c>
      <c r="C2660" s="48">
        <f t="shared" si="153"/>
        <v>41090</v>
      </c>
      <c r="D2660" s="48" t="s">
        <v>1737</v>
      </c>
      <c r="E2660" s="920">
        <v>41090</v>
      </c>
      <c r="F2660" s="919" t="s">
        <v>1541</v>
      </c>
      <c r="G2660" s="872" t="s">
        <v>1028</v>
      </c>
      <c r="H2660" s="909" t="s">
        <v>1705</v>
      </c>
      <c r="I2660" s="250">
        <v>250</v>
      </c>
      <c r="J2660" s="250">
        <v>12031.04</v>
      </c>
      <c r="K2660" s="51">
        <f t="shared" si="152"/>
        <v>3007760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</row>
    <row r="2661" spans="1:26" ht="15.75" customHeight="1">
      <c r="A2661" s="204" t="str">
        <f>IF(B2661&lt;&gt;"",IF(AND(B2661&gt;=_TM1,B2661&lt;=_TM2,OR(TH!L2661="1111",TH!M2661="1111")),TH!D2661,""),"")</f>
        <v/>
      </c>
      <c r="B2661" s="36">
        <f t="shared" si="151"/>
        <v>6</v>
      </c>
      <c r="C2661" s="48">
        <f t="shared" si="153"/>
        <v>41090</v>
      </c>
      <c r="D2661" s="48" t="s">
        <v>1737</v>
      </c>
      <c r="E2661" s="920">
        <v>41090</v>
      </c>
      <c r="F2661" s="919" t="s">
        <v>1504</v>
      </c>
      <c r="G2661" s="872" t="s">
        <v>1028</v>
      </c>
      <c r="H2661" s="909" t="s">
        <v>1705</v>
      </c>
      <c r="I2661" s="250">
        <v>244</v>
      </c>
      <c r="J2661" s="250">
        <v>9970.1803278688531</v>
      </c>
      <c r="K2661" s="51">
        <f t="shared" si="152"/>
        <v>2432724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</row>
    <row r="2662" spans="1:26" ht="15.75" customHeight="1">
      <c r="A2662" s="204" t="str">
        <f>IF(B2662&lt;&gt;"",IF(AND(B2662&gt;=_TM1,B2662&lt;=_TM2,OR(TH!L2662="1111",TH!M2662="1111")),TH!D2662,""),"")</f>
        <v/>
      </c>
      <c r="B2662" s="36">
        <f t="shared" si="151"/>
        <v>6</v>
      </c>
      <c r="C2662" s="48">
        <f t="shared" si="153"/>
        <v>41090</v>
      </c>
      <c r="D2662" s="48" t="s">
        <v>1737</v>
      </c>
      <c r="E2662" s="920">
        <v>41090</v>
      </c>
      <c r="F2662" s="919" t="s">
        <v>1505</v>
      </c>
      <c r="G2662" s="872" t="s">
        <v>1028</v>
      </c>
      <c r="H2662" s="909" t="s">
        <v>1705</v>
      </c>
      <c r="I2662" s="250">
        <v>180</v>
      </c>
      <c r="J2662" s="250">
        <v>10645.216666666667</v>
      </c>
      <c r="K2662" s="51">
        <f t="shared" si="152"/>
        <v>1916139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</row>
    <row r="2663" spans="1:26" s="894" customFormat="1" ht="15.75" customHeight="1">
      <c r="A2663" s="204" t="str">
        <f>IF(B2663&lt;&gt;"",IF(AND(B2663&gt;=_TM1,B2663&lt;=_TM2,OR(TH!L2663="1111",TH!M2663="1111")),TH!D2663,""),"")</f>
        <v/>
      </c>
      <c r="B2663" s="885">
        <f t="shared" si="151"/>
        <v>7</v>
      </c>
      <c r="C2663" s="911">
        <f t="shared" si="153"/>
        <v>41092</v>
      </c>
      <c r="D2663" s="48" t="s">
        <v>1737</v>
      </c>
      <c r="E2663" s="886">
        <v>41092</v>
      </c>
      <c r="F2663" s="924" t="s">
        <v>1170</v>
      </c>
      <c r="G2663" s="916" t="s">
        <v>1029</v>
      </c>
      <c r="H2663" s="914" t="s">
        <v>1705</v>
      </c>
      <c r="I2663" s="890">
        <v>1000</v>
      </c>
      <c r="J2663" s="890">
        <v>5112.9296636346207</v>
      </c>
      <c r="K2663" s="891">
        <f t="shared" si="152"/>
        <v>5112930</v>
      </c>
      <c r="L2663" s="912" t="s">
        <v>177</v>
      </c>
      <c r="M2663" s="91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customHeight="1">
      <c r="A2664" s="204" t="str">
        <f>IF(B2664&lt;&gt;"",IF(AND(B2664&gt;=_TM1,B2664&lt;=_TM2,OR(TH!L2664="1111",TH!M2664="1111")),TH!D2664,""),"")</f>
        <v/>
      </c>
      <c r="B2664" s="36">
        <f t="shared" si="151"/>
        <v>7</v>
      </c>
      <c r="C2664" s="48">
        <f t="shared" si="153"/>
        <v>41093</v>
      </c>
      <c r="D2664" s="48" t="s">
        <v>1737</v>
      </c>
      <c r="E2664" s="918">
        <v>41093</v>
      </c>
      <c r="F2664" s="49" t="s">
        <v>551</v>
      </c>
      <c r="G2664" s="49" t="s">
        <v>1030</v>
      </c>
      <c r="H2664" s="909" t="s">
        <v>1705</v>
      </c>
      <c r="I2664" s="250">
        <v>700</v>
      </c>
      <c r="J2664" s="250">
        <v>4553.3868064917633</v>
      </c>
      <c r="K2664" s="51">
        <f t="shared" si="152"/>
        <v>3187371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customHeight="1">
      <c r="A2665" s="204" t="str">
        <f>IF(B2665&lt;&gt;"",IF(AND(B2665&gt;=_TM1,B2665&lt;=_TM2,OR(TH!L2665="1111",TH!M2665="1111")),TH!D2665,""),"")</f>
        <v/>
      </c>
      <c r="B2665" s="36">
        <f t="shared" si="151"/>
        <v>7</v>
      </c>
      <c r="C2665" s="48">
        <f t="shared" si="153"/>
        <v>41095</v>
      </c>
      <c r="D2665" s="48" t="s">
        <v>1737</v>
      </c>
      <c r="E2665" s="918">
        <v>41095</v>
      </c>
      <c r="F2665" s="921" t="s">
        <v>1121</v>
      </c>
      <c r="G2665" s="49" t="s">
        <v>1031</v>
      </c>
      <c r="H2665" s="909" t="s">
        <v>1705</v>
      </c>
      <c r="I2665" s="250">
        <v>500</v>
      </c>
      <c r="J2665" s="250">
        <v>7028.649663634621</v>
      </c>
      <c r="K2665" s="51">
        <f t="shared" si="152"/>
        <v>3514325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customHeight="1">
      <c r="A2666" s="204" t="str">
        <f>IF(B2666&lt;&gt;"",IF(AND(B2666&gt;=_TM1,B2666&lt;=_TM2,OR(TH!L2666="1111",TH!M2666="1111")),TH!D2666,""),"")</f>
        <v/>
      </c>
      <c r="B2666" s="36">
        <f t="shared" si="151"/>
        <v>7</v>
      </c>
      <c r="C2666" s="48">
        <f t="shared" si="153"/>
        <v>41095</v>
      </c>
      <c r="D2666" s="48" t="s">
        <v>1737</v>
      </c>
      <c r="E2666" s="918">
        <v>41095</v>
      </c>
      <c r="F2666" s="49" t="s">
        <v>1145</v>
      </c>
      <c r="G2666" s="49" t="s">
        <v>1032</v>
      </c>
      <c r="H2666" s="909" t="s">
        <v>1705</v>
      </c>
      <c r="I2666" s="250">
        <v>451</v>
      </c>
      <c r="J2666" s="250">
        <v>10526.365583812005</v>
      </c>
      <c r="K2666" s="51">
        <f t="shared" si="152"/>
        <v>4747391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customHeight="1">
      <c r="A2667" s="204" t="str">
        <f>IF(B2667&lt;&gt;"",IF(AND(B2667&gt;=_TM1,B2667&lt;=_TM2,OR(TH!L2667="1111",TH!M2667="1111")),TH!D2667,""),"")</f>
        <v/>
      </c>
      <c r="B2667" s="36">
        <f t="shared" si="151"/>
        <v>7</v>
      </c>
      <c r="C2667" s="48">
        <f t="shared" si="153"/>
        <v>41095</v>
      </c>
      <c r="D2667" s="48" t="s">
        <v>1737</v>
      </c>
      <c r="E2667" s="918">
        <v>41095</v>
      </c>
      <c r="F2667" s="49" t="s">
        <v>1033</v>
      </c>
      <c r="G2667" s="49" t="s">
        <v>1034</v>
      </c>
      <c r="H2667" s="909" t="s">
        <v>1705</v>
      </c>
      <c r="I2667" s="250">
        <v>622</v>
      </c>
      <c r="J2667" s="250">
        <v>6349.153457846839</v>
      </c>
      <c r="K2667" s="51">
        <f t="shared" si="152"/>
        <v>3949173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customHeight="1">
      <c r="A2668" s="204" t="str">
        <f>IF(B2668&lt;&gt;"",IF(AND(B2668&gt;=_TM1,B2668&lt;=_TM2,OR(TH!L2668="1111",TH!M2668="1111")),TH!D2668,""),"")</f>
        <v/>
      </c>
      <c r="B2668" s="36">
        <f t="shared" si="151"/>
        <v>7</v>
      </c>
      <c r="C2668" s="48">
        <f t="shared" si="153"/>
        <v>41095</v>
      </c>
      <c r="D2668" s="48" t="s">
        <v>1737</v>
      </c>
      <c r="E2668" s="918">
        <v>41095</v>
      </c>
      <c r="F2668" s="49" t="s">
        <v>1169</v>
      </c>
      <c r="G2668" s="49" t="s">
        <v>1034</v>
      </c>
      <c r="H2668" s="909" t="s">
        <v>1705</v>
      </c>
      <c r="I2668" s="250">
        <v>295</v>
      </c>
      <c r="J2668" s="250">
        <v>7234.4788161769939</v>
      </c>
      <c r="K2668" s="51">
        <f t="shared" si="152"/>
        <v>2134171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customHeight="1">
      <c r="A2669" s="204" t="str">
        <f>IF(B2669&lt;&gt;"",IF(AND(B2669&gt;=_TM1,B2669&lt;=_TM2,OR(TH!L2669="1111",TH!M2669="1111")),TH!D2669,""),"")</f>
        <v/>
      </c>
      <c r="B2669" s="36">
        <f t="shared" si="151"/>
        <v>7</v>
      </c>
      <c r="C2669" s="48">
        <f t="shared" si="153"/>
        <v>41095</v>
      </c>
      <c r="D2669" s="48" t="s">
        <v>1737</v>
      </c>
      <c r="E2669" s="918">
        <v>41095</v>
      </c>
      <c r="F2669" s="49" t="s">
        <v>1168</v>
      </c>
      <c r="G2669" s="49" t="s">
        <v>1034</v>
      </c>
      <c r="H2669" s="909" t="s">
        <v>1705</v>
      </c>
      <c r="I2669" s="250">
        <v>70</v>
      </c>
      <c r="J2669" s="250">
        <v>9113.0296636346193</v>
      </c>
      <c r="K2669" s="51">
        <f t="shared" si="152"/>
        <v>637912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customHeight="1">
      <c r="A2670" s="204" t="str">
        <f>IF(B2670&lt;&gt;"",IF(AND(B2670&gt;=_TM1,B2670&lt;=_TM2,OR(TH!L2670="1111",TH!M2670="1111")),TH!D2670,""),"")</f>
        <v/>
      </c>
      <c r="B2670" s="36">
        <f t="shared" si="151"/>
        <v>7</v>
      </c>
      <c r="C2670" s="48">
        <f t="shared" si="153"/>
        <v>41096</v>
      </c>
      <c r="D2670" s="48" t="s">
        <v>1737</v>
      </c>
      <c r="E2670" s="918">
        <v>41096</v>
      </c>
      <c r="F2670" s="49" t="s">
        <v>1167</v>
      </c>
      <c r="G2670" s="49" t="s">
        <v>1035</v>
      </c>
      <c r="H2670" s="909" t="s">
        <v>1705</v>
      </c>
      <c r="I2670" s="250">
        <v>1210</v>
      </c>
      <c r="J2670" s="250">
        <v>4775.0751181800761</v>
      </c>
      <c r="K2670" s="51">
        <f t="shared" si="152"/>
        <v>5777841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customHeight="1">
      <c r="A2671" s="204" t="str">
        <f>IF(B2671&lt;&gt;"",IF(AND(B2671&gt;=_TM1,B2671&lt;=_TM2,OR(TH!L2671="1111",TH!M2671="1111")),TH!D2671,""),"")</f>
        <v/>
      </c>
      <c r="B2671" s="36">
        <f t="shared" si="151"/>
        <v>7</v>
      </c>
      <c r="C2671" s="48">
        <f t="shared" si="153"/>
        <v>41096</v>
      </c>
      <c r="D2671" s="48" t="s">
        <v>1737</v>
      </c>
      <c r="E2671" s="918">
        <v>41096</v>
      </c>
      <c r="F2671" s="49" t="s">
        <v>1131</v>
      </c>
      <c r="G2671" s="49" t="s">
        <v>1035</v>
      </c>
      <c r="H2671" s="909" t="s">
        <v>1705</v>
      </c>
      <c r="I2671" s="250">
        <v>310</v>
      </c>
      <c r="J2671" s="250">
        <v>13178.529663634619</v>
      </c>
      <c r="K2671" s="51">
        <f t="shared" si="152"/>
        <v>4085344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customHeight="1">
      <c r="A2672" s="204" t="str">
        <f>IF(B2672&lt;&gt;"",IF(AND(B2672&gt;=_TM1,B2672&lt;=_TM2,OR(TH!L2672="1111",TH!M2672="1111")),TH!D2672,""),"")</f>
        <v/>
      </c>
      <c r="B2672" s="36">
        <f t="shared" si="151"/>
        <v>7</v>
      </c>
      <c r="C2672" s="48">
        <f t="shared" si="153"/>
        <v>41096</v>
      </c>
      <c r="D2672" s="48" t="s">
        <v>1737</v>
      </c>
      <c r="E2672" s="918">
        <v>41096</v>
      </c>
      <c r="F2672" s="734" t="s">
        <v>1166</v>
      </c>
      <c r="G2672" s="49" t="s">
        <v>1035</v>
      </c>
      <c r="H2672" s="909" t="s">
        <v>1705</v>
      </c>
      <c r="I2672" s="250">
        <v>324</v>
      </c>
      <c r="J2672" s="250">
        <v>4459.5296636346202</v>
      </c>
      <c r="K2672" s="51">
        <f t="shared" si="152"/>
        <v>1444888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customHeight="1">
      <c r="A2673" s="204" t="str">
        <f>IF(B2673&lt;&gt;"",IF(AND(B2673&gt;=_TM1,B2673&lt;=_TM2,OR(TH!L2673="1111",TH!M2673="1111")),TH!D2673,""),"")</f>
        <v/>
      </c>
      <c r="B2673" s="36">
        <f t="shared" si="151"/>
        <v>7</v>
      </c>
      <c r="C2673" s="48">
        <f t="shared" si="153"/>
        <v>41096</v>
      </c>
      <c r="D2673" s="48" t="s">
        <v>1737</v>
      </c>
      <c r="E2673" s="918">
        <v>41096</v>
      </c>
      <c r="F2673" s="734" t="s">
        <v>1165</v>
      </c>
      <c r="G2673" s="49" t="s">
        <v>1036</v>
      </c>
      <c r="H2673" s="909" t="s">
        <v>1705</v>
      </c>
      <c r="I2673" s="250">
        <v>1107</v>
      </c>
      <c r="J2673" s="250">
        <v>4799.9280376183597</v>
      </c>
      <c r="K2673" s="51">
        <f t="shared" si="152"/>
        <v>5313520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customHeight="1">
      <c r="A2674" s="204" t="str">
        <f>IF(B2674&lt;&gt;"",IF(AND(B2674&gt;=_TM1,B2674&lt;=_TM2,OR(TH!L2674="1111",TH!M2674="1111")),TH!D2674,""),"")</f>
        <v/>
      </c>
      <c r="B2674" s="36">
        <f t="shared" si="151"/>
        <v>7</v>
      </c>
      <c r="C2674" s="48">
        <f t="shared" si="153"/>
        <v>41104</v>
      </c>
      <c r="D2674" s="48" t="s">
        <v>1737</v>
      </c>
      <c r="E2674" s="918">
        <v>41104</v>
      </c>
      <c r="F2674" s="734" t="s">
        <v>1164</v>
      </c>
      <c r="G2674" s="49" t="s">
        <v>426</v>
      </c>
      <c r="H2674" s="909" t="s">
        <v>1705</v>
      </c>
      <c r="I2674" s="250">
        <v>1012</v>
      </c>
      <c r="J2674" s="250">
        <v>5267.1245252947001</v>
      </c>
      <c r="K2674" s="51">
        <f t="shared" si="152"/>
        <v>5330330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customHeight="1">
      <c r="A2675" s="204" t="str">
        <f>IF(B2675&lt;&gt;"",IF(AND(B2675&gt;=_TM1,B2675&lt;=_TM2,OR(TH!L2675="1111",TH!M2675="1111")),TH!D2675,""),"")</f>
        <v/>
      </c>
      <c r="B2675" s="36">
        <f t="shared" si="151"/>
        <v>7</v>
      </c>
      <c r="C2675" s="48">
        <f t="shared" si="153"/>
        <v>41104</v>
      </c>
      <c r="D2675" s="48" t="s">
        <v>1737</v>
      </c>
      <c r="E2675" s="918">
        <v>41104</v>
      </c>
      <c r="F2675" s="49" t="s">
        <v>1147</v>
      </c>
      <c r="G2675" s="49" t="s">
        <v>756</v>
      </c>
      <c r="H2675" s="909" t="s">
        <v>1705</v>
      </c>
      <c r="I2675" s="250">
        <v>136</v>
      </c>
      <c r="J2675" s="250">
        <v>36946.529663634625</v>
      </c>
      <c r="K2675" s="51">
        <f t="shared" si="152"/>
        <v>5024728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customHeight="1">
      <c r="A2676" s="204" t="str">
        <f>IF(B2676&lt;&gt;"",IF(AND(B2676&gt;=_TM1,B2676&lt;=_TM2,OR(TH!L2676="1111",TH!M2676="1111")),TH!D2676,""),"")</f>
        <v/>
      </c>
      <c r="B2676" s="36">
        <f t="shared" si="151"/>
        <v>7</v>
      </c>
      <c r="C2676" s="48">
        <f t="shared" si="153"/>
        <v>41104</v>
      </c>
      <c r="D2676" s="48" t="s">
        <v>1737</v>
      </c>
      <c r="E2676" s="918">
        <v>41104</v>
      </c>
      <c r="F2676" s="49" t="s">
        <v>1146</v>
      </c>
      <c r="G2676" s="49" t="s">
        <v>756</v>
      </c>
      <c r="H2676" s="909" t="s">
        <v>1705</v>
      </c>
      <c r="I2676" s="250">
        <v>47</v>
      </c>
      <c r="J2676" s="250">
        <v>42540.827535975048</v>
      </c>
      <c r="K2676" s="51">
        <f t="shared" si="152"/>
        <v>1999419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customHeight="1">
      <c r="A2677" s="204" t="str">
        <f>IF(B2677&lt;&gt;"",IF(AND(B2677&gt;=_TM1,B2677&lt;=_TM2,OR(TH!L2677="1111",TH!M2677="1111")),TH!D2677,""),"")</f>
        <v/>
      </c>
      <c r="B2677" s="36">
        <f t="shared" si="151"/>
        <v>7</v>
      </c>
      <c r="C2677" s="48">
        <f t="shared" si="153"/>
        <v>41104</v>
      </c>
      <c r="D2677" s="48" t="s">
        <v>1737</v>
      </c>
      <c r="E2677" s="918">
        <v>41104</v>
      </c>
      <c r="F2677" s="49" t="s">
        <v>1037</v>
      </c>
      <c r="G2677" s="49" t="s">
        <v>1038</v>
      </c>
      <c r="H2677" s="909" t="s">
        <v>1705</v>
      </c>
      <c r="I2677" s="250">
        <v>342</v>
      </c>
      <c r="J2677" s="250">
        <v>5832.4594881960247</v>
      </c>
      <c r="K2677" s="51">
        <f t="shared" si="152"/>
        <v>1994701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customHeight="1">
      <c r="A2678" s="204" t="str">
        <f>IF(B2678&lt;&gt;"",IF(AND(B2678&gt;=_TM1,B2678&lt;=_TM2,OR(TH!L2678="1111",TH!M2678="1111")),TH!D2678,""),"")</f>
        <v/>
      </c>
      <c r="B2678" s="36">
        <f t="shared" si="151"/>
        <v>7</v>
      </c>
      <c r="C2678" s="48">
        <f t="shared" si="153"/>
        <v>41104</v>
      </c>
      <c r="D2678" s="48" t="s">
        <v>1737</v>
      </c>
      <c r="E2678" s="918">
        <v>41104</v>
      </c>
      <c r="F2678" s="49" t="s">
        <v>1227</v>
      </c>
      <c r="G2678" s="49" t="s">
        <v>1038</v>
      </c>
      <c r="H2678" s="909" t="s">
        <v>1705</v>
      </c>
      <c r="I2678" s="250">
        <v>105</v>
      </c>
      <c r="J2678" s="250">
        <v>9180.7487112536692</v>
      </c>
      <c r="K2678" s="51">
        <f t="shared" si="152"/>
        <v>963979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customHeight="1">
      <c r="A2679" s="204" t="str">
        <f>IF(B2679&lt;&gt;"",IF(AND(B2679&gt;=_TM1,B2679&lt;=_TM2,OR(TH!L2679="1111",TH!M2679="1111")),TH!D2679,""),"")</f>
        <v/>
      </c>
      <c r="B2679" s="36">
        <f t="shared" si="151"/>
        <v>7</v>
      </c>
      <c r="C2679" s="48">
        <f t="shared" si="153"/>
        <v>41105</v>
      </c>
      <c r="D2679" s="48" t="s">
        <v>1737</v>
      </c>
      <c r="E2679" s="918">
        <v>41105</v>
      </c>
      <c r="F2679" s="49" t="s">
        <v>1152</v>
      </c>
      <c r="G2679" s="49" t="s">
        <v>429</v>
      </c>
      <c r="H2679" s="909" t="s">
        <v>1705</v>
      </c>
      <c r="I2679" s="250">
        <v>1287</v>
      </c>
      <c r="J2679" s="250">
        <v>4872.6361127410692</v>
      </c>
      <c r="K2679" s="51">
        <f t="shared" si="152"/>
        <v>6271083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customHeight="1">
      <c r="A2680" s="204" t="str">
        <f>IF(B2680&lt;&gt;"",IF(AND(B2680&gt;=_TM1,B2680&lt;=_TM2,OR(TH!L2680="1111",TH!M2680="1111")),TH!D2680,""),"")</f>
        <v/>
      </c>
      <c r="B2680" s="36">
        <f t="shared" si="151"/>
        <v>7</v>
      </c>
      <c r="C2680" s="48">
        <f t="shared" si="153"/>
        <v>41105</v>
      </c>
      <c r="D2680" s="48" t="s">
        <v>1737</v>
      </c>
      <c r="E2680" s="918">
        <v>41105</v>
      </c>
      <c r="F2680" s="49" t="s">
        <v>1163</v>
      </c>
      <c r="G2680" s="49" t="s">
        <v>429</v>
      </c>
      <c r="H2680" s="909" t="s">
        <v>1705</v>
      </c>
      <c r="I2680" s="250">
        <v>1175</v>
      </c>
      <c r="J2680" s="250">
        <v>6117.5892381027061</v>
      </c>
      <c r="K2680" s="51">
        <f t="shared" si="152"/>
        <v>7188167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customHeight="1">
      <c r="A2681" s="204" t="str">
        <f>IF(B2681&lt;&gt;"",IF(AND(B2681&gt;=_TM1,B2681&lt;=_TM2,OR(TH!L2681="1111",TH!M2681="1111")),TH!D2681,""),"")</f>
        <v/>
      </c>
      <c r="B2681" s="36">
        <f t="shared" si="151"/>
        <v>7</v>
      </c>
      <c r="C2681" s="48">
        <f t="shared" si="153"/>
        <v>41105</v>
      </c>
      <c r="D2681" s="48" t="s">
        <v>1737</v>
      </c>
      <c r="E2681" s="918">
        <v>41105</v>
      </c>
      <c r="F2681" s="49" t="s">
        <v>1153</v>
      </c>
      <c r="G2681" s="49" t="s">
        <v>429</v>
      </c>
      <c r="H2681" s="909" t="s">
        <v>1705</v>
      </c>
      <c r="I2681" s="250">
        <v>996</v>
      </c>
      <c r="J2681" s="250">
        <v>4788.2425150402432</v>
      </c>
      <c r="K2681" s="51">
        <f t="shared" si="152"/>
        <v>4769090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customHeight="1">
      <c r="A2682" s="204" t="str">
        <f>IF(B2682&lt;&gt;"",IF(AND(B2682&gt;=_TM1,B2682&lt;=_TM2,OR(TH!L2682="1111",TH!M2682="1111")),TH!D2682,""),"")</f>
        <v/>
      </c>
      <c r="B2682" s="36">
        <f t="shared" si="151"/>
        <v>7</v>
      </c>
      <c r="C2682" s="48">
        <f t="shared" si="153"/>
        <v>41105</v>
      </c>
      <c r="D2682" s="48" t="s">
        <v>1737</v>
      </c>
      <c r="E2682" s="918">
        <v>41105</v>
      </c>
      <c r="F2682" s="49" t="s">
        <v>1162</v>
      </c>
      <c r="G2682" s="49" t="s">
        <v>429</v>
      </c>
      <c r="H2682" s="909" t="s">
        <v>1705</v>
      </c>
      <c r="I2682" s="250">
        <v>1006</v>
      </c>
      <c r="J2682" s="250">
        <v>6238.3149519049994</v>
      </c>
      <c r="K2682" s="51">
        <f t="shared" si="152"/>
        <v>6275745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customHeight="1">
      <c r="A2683" s="204" t="str">
        <f>IF(B2683&lt;&gt;"",IF(AND(B2683&gt;=_TM1,B2683&lt;=_TM2,OR(TH!L2683="1111",TH!M2683="1111")),TH!D2683,""),"")</f>
        <v/>
      </c>
      <c r="B2683" s="36">
        <f t="shared" si="151"/>
        <v>7</v>
      </c>
      <c r="C2683" s="48">
        <f t="shared" si="153"/>
        <v>41105</v>
      </c>
      <c r="D2683" s="48" t="s">
        <v>1737</v>
      </c>
      <c r="E2683" s="918">
        <v>41105</v>
      </c>
      <c r="F2683" s="49" t="s">
        <v>1161</v>
      </c>
      <c r="G2683" s="49" t="s">
        <v>429</v>
      </c>
      <c r="H2683" s="909" t="s">
        <v>1705</v>
      </c>
      <c r="I2683" s="250">
        <v>1290</v>
      </c>
      <c r="J2683" s="250">
        <v>4776.9428419291944</v>
      </c>
      <c r="K2683" s="51">
        <f t="shared" si="152"/>
        <v>6162256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customHeight="1">
      <c r="A2684" s="204" t="str">
        <f>IF(B2684&lt;&gt;"",IF(AND(B2684&gt;=_TM1,B2684&lt;=_TM2,OR(TH!L2684="1111",TH!M2684="1111")),TH!D2684,""),"")</f>
        <v/>
      </c>
      <c r="B2684" s="36">
        <f t="shared" si="151"/>
        <v>7</v>
      </c>
      <c r="C2684" s="48">
        <f t="shared" si="153"/>
        <v>41117</v>
      </c>
      <c r="D2684" s="48" t="s">
        <v>1737</v>
      </c>
      <c r="E2684" s="918">
        <v>41117</v>
      </c>
      <c r="F2684" s="49" t="s">
        <v>1160</v>
      </c>
      <c r="G2684" s="49" t="s">
        <v>1039</v>
      </c>
      <c r="H2684" s="909" t="s">
        <v>1705</v>
      </c>
      <c r="I2684" s="250">
        <v>615</v>
      </c>
      <c r="J2684" s="250">
        <v>7356.4158424964098</v>
      </c>
      <c r="K2684" s="51">
        <f t="shared" si="152"/>
        <v>4524196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customHeight="1">
      <c r="A2685" s="204" t="str">
        <f>IF(B2685&lt;&gt;"",IF(AND(B2685&gt;=_TM1,B2685&lt;=_TM2,OR(TH!L2685="1111",TH!M2685="1111")),TH!D2685,""),"")</f>
        <v/>
      </c>
      <c r="B2685" s="36">
        <f t="shared" si="151"/>
        <v>7</v>
      </c>
      <c r="C2685" s="48">
        <f t="shared" si="153"/>
        <v>41117</v>
      </c>
      <c r="D2685" s="48" t="s">
        <v>1737</v>
      </c>
      <c r="E2685" s="918">
        <v>41117</v>
      </c>
      <c r="F2685" s="49" t="s">
        <v>1132</v>
      </c>
      <c r="G2685" s="49" t="s">
        <v>1039</v>
      </c>
      <c r="H2685" s="909" t="s">
        <v>1705</v>
      </c>
      <c r="I2685" s="250">
        <v>200</v>
      </c>
      <c r="J2685" s="250">
        <v>11759.029663634621</v>
      </c>
      <c r="K2685" s="51">
        <f t="shared" si="152"/>
        <v>2351806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customHeight="1">
      <c r="A2686" s="204" t="str">
        <f>IF(B2686&lt;&gt;"",IF(AND(B2686&gt;=_TM1,B2686&lt;=_TM2,OR(TH!L2686="1111",TH!M2686="1111")),TH!D2686,""),"")</f>
        <v/>
      </c>
      <c r="B2686" s="36">
        <f t="shared" si="151"/>
        <v>7</v>
      </c>
      <c r="C2686" s="48">
        <f t="shared" si="153"/>
        <v>41117</v>
      </c>
      <c r="D2686" s="48" t="s">
        <v>1737</v>
      </c>
      <c r="E2686" s="918">
        <v>41117</v>
      </c>
      <c r="F2686" s="49" t="s">
        <v>1158</v>
      </c>
      <c r="G2686" s="49" t="s">
        <v>1040</v>
      </c>
      <c r="H2686" s="909" t="s">
        <v>1705</v>
      </c>
      <c r="I2686" s="250">
        <v>200</v>
      </c>
      <c r="J2686" s="250">
        <v>19634.429663634623</v>
      </c>
      <c r="K2686" s="51">
        <f t="shared" si="152"/>
        <v>3926886</v>
      </c>
      <c r="L2686" s="52" t="s">
        <v>177</v>
      </c>
      <c r="M2686" s="52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customHeight="1">
      <c r="A2687" s="204" t="str">
        <f>IF(B2687&lt;&gt;"",IF(AND(B2687&gt;=_TM1,B2687&lt;=_TM2,OR(TH!L2687="1111",TH!M2687="1111")),TH!D2687,""),"")</f>
        <v/>
      </c>
      <c r="B2687" s="36">
        <f t="shared" ref="B2687:B2750" si="154">IF(C2687&lt;&gt;"",MONTH(C2687),"")</f>
        <v>7</v>
      </c>
      <c r="C2687" s="48">
        <f t="shared" si="153"/>
        <v>41117</v>
      </c>
      <c r="D2687" s="48" t="s">
        <v>1737</v>
      </c>
      <c r="E2687" s="918">
        <v>41117</v>
      </c>
      <c r="F2687" s="49" t="s">
        <v>1159</v>
      </c>
      <c r="G2687" s="49" t="s">
        <v>1040</v>
      </c>
      <c r="H2687" s="909" t="s">
        <v>1705</v>
      </c>
      <c r="I2687" s="250">
        <v>200</v>
      </c>
      <c r="J2687" s="250">
        <v>4394.9046636346202</v>
      </c>
      <c r="K2687" s="51">
        <f t="shared" si="152"/>
        <v>878981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customHeight="1">
      <c r="A2688" s="204" t="str">
        <f>IF(B2688&lt;&gt;"",IF(AND(B2688&gt;=_TM1,B2688&lt;=_TM2,OR(TH!L2688="1111",TH!M2688="1111")),TH!D2688,""),"")</f>
        <v/>
      </c>
      <c r="B2688" s="36">
        <f t="shared" si="154"/>
        <v>7</v>
      </c>
      <c r="C2688" s="48">
        <f t="shared" si="153"/>
        <v>41117</v>
      </c>
      <c r="D2688" s="48" t="s">
        <v>1737</v>
      </c>
      <c r="E2688" s="918">
        <v>41117</v>
      </c>
      <c r="F2688" s="49" t="s">
        <v>1157</v>
      </c>
      <c r="G2688" s="49" t="s">
        <v>430</v>
      </c>
      <c r="H2688" s="909" t="s">
        <v>1705</v>
      </c>
      <c r="I2688" s="250">
        <v>504</v>
      </c>
      <c r="J2688" s="250">
        <v>9436.1963303012872</v>
      </c>
      <c r="K2688" s="51">
        <f t="shared" ref="K2688:K2751" si="155">ROUND(I2688*J2688,0)</f>
        <v>4755843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customHeight="1">
      <c r="A2689" s="204" t="str">
        <f>IF(B2689&lt;&gt;"",IF(AND(B2689&gt;=_TM1,B2689&lt;=_TM2,OR(TH!L2689="1111",TH!M2689="1111")),TH!D2689,""),"")</f>
        <v/>
      </c>
      <c r="B2689" s="36">
        <f t="shared" si="154"/>
        <v>7</v>
      </c>
      <c r="C2689" s="48">
        <f t="shared" si="153"/>
        <v>41118</v>
      </c>
      <c r="D2689" s="48" t="s">
        <v>1737</v>
      </c>
      <c r="E2689" s="918">
        <v>41118</v>
      </c>
      <c r="F2689" s="49" t="s">
        <v>551</v>
      </c>
      <c r="G2689" s="49" t="s">
        <v>1041</v>
      </c>
      <c r="H2689" s="909" t="s">
        <v>1705</v>
      </c>
      <c r="I2689" s="250">
        <v>500</v>
      </c>
      <c r="J2689" s="250">
        <v>2441.3576636346206</v>
      </c>
      <c r="K2689" s="51">
        <f t="shared" si="155"/>
        <v>1220679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customHeight="1">
      <c r="A2690" s="204" t="str">
        <f>IF(B2690&lt;&gt;"",IF(AND(B2690&gt;=_TM1,B2690&lt;=_TM2,OR(TH!L2690="1111",TH!M2690="1111")),TH!D2690,""),"")</f>
        <v/>
      </c>
      <c r="B2690" s="36">
        <f t="shared" si="154"/>
        <v>7</v>
      </c>
      <c r="C2690" s="48">
        <f t="shared" si="153"/>
        <v>41118</v>
      </c>
      <c r="D2690" s="48" t="s">
        <v>1737</v>
      </c>
      <c r="E2690" s="918">
        <v>41118</v>
      </c>
      <c r="F2690" s="49" t="s">
        <v>1499</v>
      </c>
      <c r="G2690" s="49" t="s">
        <v>1043</v>
      </c>
      <c r="H2690" s="909" t="s">
        <v>1705</v>
      </c>
      <c r="I2690" s="250">
        <v>121</v>
      </c>
      <c r="J2690" s="250">
        <v>5251.4552834693313</v>
      </c>
      <c r="K2690" s="51">
        <f t="shared" si="155"/>
        <v>635426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customHeight="1">
      <c r="A2691" s="204" t="str">
        <f>IF(B2691&lt;&gt;"",IF(AND(B2691&gt;=_TM1,B2691&lt;=_TM2,OR(TH!L2691="1111",TH!M2691="1111")),TH!D2691,""),"")</f>
        <v/>
      </c>
      <c r="B2691" s="36">
        <f t="shared" si="154"/>
        <v>7</v>
      </c>
      <c r="C2691" s="48">
        <f t="shared" si="153"/>
        <v>41118</v>
      </c>
      <c r="D2691" s="48" t="s">
        <v>1737</v>
      </c>
      <c r="E2691" s="918">
        <v>41118</v>
      </c>
      <c r="F2691" s="49" t="s">
        <v>1533</v>
      </c>
      <c r="G2691" s="49" t="s">
        <v>1043</v>
      </c>
      <c r="H2691" s="909" t="s">
        <v>1705</v>
      </c>
      <c r="I2691" s="250">
        <v>152</v>
      </c>
      <c r="J2691" s="250">
        <v>6449.2401899504111</v>
      </c>
      <c r="K2691" s="51">
        <f t="shared" si="155"/>
        <v>980285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customHeight="1">
      <c r="A2692" s="204" t="str">
        <f>IF(B2692&lt;&gt;"",IF(AND(B2692&gt;=_TM1,B2692&lt;=_TM2,OR(TH!L2692="1111",TH!M2692="1111")),TH!D2692,""),"")</f>
        <v/>
      </c>
      <c r="B2692" s="36">
        <f t="shared" si="154"/>
        <v>7</v>
      </c>
      <c r="C2692" s="48">
        <f t="shared" ref="C2692:C2755" si="156">E2692</f>
        <v>41118</v>
      </c>
      <c r="D2692" s="48" t="s">
        <v>1737</v>
      </c>
      <c r="E2692" s="918">
        <v>41118</v>
      </c>
      <c r="F2692" s="734" t="s">
        <v>1497</v>
      </c>
      <c r="G2692" s="49" t="s">
        <v>1043</v>
      </c>
      <c r="H2692" s="909" t="s">
        <v>1705</v>
      </c>
      <c r="I2692" s="250">
        <v>74</v>
      </c>
      <c r="J2692" s="250">
        <v>7349.0161501211069</v>
      </c>
      <c r="K2692" s="51">
        <f t="shared" si="155"/>
        <v>543827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customHeight="1">
      <c r="A2693" s="204" t="str">
        <f>IF(B2693&lt;&gt;"",IF(AND(B2693&gt;=_TM1,B2693&lt;=_TM2,OR(TH!L2693="1111",TH!M2693="1111")),TH!D2693,""),"")</f>
        <v/>
      </c>
      <c r="B2693" s="36">
        <f t="shared" si="154"/>
        <v>7</v>
      </c>
      <c r="C2693" s="48">
        <f t="shared" si="156"/>
        <v>41118</v>
      </c>
      <c r="D2693" s="48" t="s">
        <v>1737</v>
      </c>
      <c r="E2693" s="918">
        <v>41118</v>
      </c>
      <c r="F2693" s="49" t="s">
        <v>1501</v>
      </c>
      <c r="G2693" s="49" t="s">
        <v>1043</v>
      </c>
      <c r="H2693" s="909" t="s">
        <v>1705</v>
      </c>
      <c r="I2693" s="250">
        <v>125</v>
      </c>
      <c r="J2693" s="250">
        <v>7811.9696636346207</v>
      </c>
      <c r="K2693" s="51">
        <f t="shared" si="155"/>
        <v>976496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customHeight="1">
      <c r="A2694" s="204" t="str">
        <f>IF(B2694&lt;&gt;"",IF(AND(B2694&gt;=_TM1,B2694&lt;=_TM2,OR(TH!L2694="1111",TH!M2694="1111")),TH!D2694,""),"")</f>
        <v/>
      </c>
      <c r="B2694" s="36">
        <f t="shared" si="154"/>
        <v>7</v>
      </c>
      <c r="C2694" s="48">
        <f t="shared" si="156"/>
        <v>41118</v>
      </c>
      <c r="D2694" s="48" t="s">
        <v>1737</v>
      </c>
      <c r="E2694" s="918">
        <v>41118</v>
      </c>
      <c r="F2694" s="49" t="s">
        <v>1534</v>
      </c>
      <c r="G2694" s="49" t="s">
        <v>1043</v>
      </c>
      <c r="H2694" s="909" t="s">
        <v>1705</v>
      </c>
      <c r="I2694" s="250">
        <v>40</v>
      </c>
      <c r="J2694" s="250">
        <v>9113.0296636346211</v>
      </c>
      <c r="K2694" s="51">
        <f t="shared" si="155"/>
        <v>364521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customHeight="1">
      <c r="A2695" s="204" t="str">
        <f>IF(B2695&lt;&gt;"",IF(AND(B2695&gt;=_TM1,B2695&lt;=_TM2,OR(TH!L2695="1111",TH!M2695="1111")),TH!D2695,""),"")</f>
        <v/>
      </c>
      <c r="B2695" s="36">
        <f t="shared" si="154"/>
        <v>7</v>
      </c>
      <c r="C2695" s="48">
        <f t="shared" si="156"/>
        <v>41118</v>
      </c>
      <c r="D2695" s="48" t="s">
        <v>1737</v>
      </c>
      <c r="E2695" s="918">
        <v>41118</v>
      </c>
      <c r="F2695" s="49" t="s">
        <v>1527</v>
      </c>
      <c r="G2695" s="49" t="s">
        <v>1043</v>
      </c>
      <c r="H2695" s="909" t="s">
        <v>1705</v>
      </c>
      <c r="I2695" s="250">
        <v>15</v>
      </c>
      <c r="J2695" s="250">
        <v>12431.262996967956</v>
      </c>
      <c r="K2695" s="51">
        <f t="shared" si="155"/>
        <v>186469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customHeight="1">
      <c r="A2696" s="204" t="str">
        <f>IF(B2696&lt;&gt;"",IF(AND(B2696&gt;=_TM1,B2696&lt;=_TM2,OR(TH!L2696="1111",TH!M2696="1111")),TH!D2696,""),"")</f>
        <v/>
      </c>
      <c r="B2696" s="36">
        <f t="shared" si="154"/>
        <v>7</v>
      </c>
      <c r="C2696" s="48">
        <f t="shared" si="156"/>
        <v>41118</v>
      </c>
      <c r="D2696" s="48" t="s">
        <v>1737</v>
      </c>
      <c r="E2696" s="918">
        <v>41118</v>
      </c>
      <c r="F2696" s="49" t="s">
        <v>1503</v>
      </c>
      <c r="G2696" s="49" t="s">
        <v>1043</v>
      </c>
      <c r="H2696" s="909" t="s">
        <v>1705</v>
      </c>
      <c r="I2696" s="250">
        <v>75</v>
      </c>
      <c r="J2696" s="250">
        <v>7535.3296636346213</v>
      </c>
      <c r="K2696" s="51">
        <f t="shared" si="155"/>
        <v>565150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customHeight="1">
      <c r="A2697" s="204" t="str">
        <f>IF(B2697&lt;&gt;"",IF(AND(B2697&gt;=_TM1,B2697&lt;=_TM2,OR(TH!L2697="1111",TH!M2697="1111")),TH!D2697,""),"")</f>
        <v/>
      </c>
      <c r="B2697" s="36">
        <f t="shared" si="154"/>
        <v>7</v>
      </c>
      <c r="C2697" s="48">
        <f t="shared" si="156"/>
        <v>41118</v>
      </c>
      <c r="D2697" s="48" t="s">
        <v>1737</v>
      </c>
      <c r="E2697" s="918">
        <v>41118</v>
      </c>
      <c r="F2697" s="734" t="s">
        <v>1512</v>
      </c>
      <c r="G2697" s="49" t="s">
        <v>1043</v>
      </c>
      <c r="H2697" s="909" t="s">
        <v>1705</v>
      </c>
      <c r="I2697" s="250">
        <v>102</v>
      </c>
      <c r="J2697" s="250">
        <v>9113.0296636346211</v>
      </c>
      <c r="K2697" s="51">
        <f t="shared" si="155"/>
        <v>929529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customHeight="1">
      <c r="A2698" s="204" t="str">
        <f>IF(B2698&lt;&gt;"",IF(AND(B2698&gt;=_TM1,B2698&lt;=_TM2,OR(TH!L2698="1111",TH!M2698="1111")),TH!D2698,""),"")</f>
        <v/>
      </c>
      <c r="B2698" s="36">
        <f t="shared" si="154"/>
        <v>7</v>
      </c>
      <c r="C2698" s="48">
        <f t="shared" si="156"/>
        <v>41121</v>
      </c>
      <c r="D2698" s="48" t="s">
        <v>1737</v>
      </c>
      <c r="E2698" s="918">
        <v>41121</v>
      </c>
      <c r="F2698" s="921" t="s">
        <v>1121</v>
      </c>
      <c r="G2698" s="49" t="s">
        <v>1044</v>
      </c>
      <c r="H2698" s="909" t="s">
        <v>1705</v>
      </c>
      <c r="I2698" s="250">
        <v>890</v>
      </c>
      <c r="J2698" s="250">
        <v>6751.4173040840587</v>
      </c>
      <c r="K2698" s="51">
        <f t="shared" si="155"/>
        <v>6008761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customHeight="1">
      <c r="A2699" s="204" t="str">
        <f>IF(B2699&lt;&gt;"",IF(AND(B2699&gt;=_TM1,B2699&lt;=_TM2,OR(TH!L2699="1111",TH!M2699="1111")),TH!D2699,""),"")</f>
        <v/>
      </c>
      <c r="B2699" s="36">
        <f t="shared" si="154"/>
        <v>8</v>
      </c>
      <c r="C2699" s="48">
        <f t="shared" si="156"/>
        <v>41122</v>
      </c>
      <c r="D2699" s="48" t="s">
        <v>1737</v>
      </c>
      <c r="E2699" s="918">
        <v>41122</v>
      </c>
      <c r="F2699" s="49" t="s">
        <v>1069</v>
      </c>
      <c r="G2699" s="49" t="s">
        <v>1045</v>
      </c>
      <c r="H2699" s="909" t="s">
        <v>1705</v>
      </c>
      <c r="I2699" s="250">
        <v>75</v>
      </c>
      <c r="J2699" s="250">
        <v>5378.1296636346206</v>
      </c>
      <c r="K2699" s="51">
        <f t="shared" si="155"/>
        <v>403360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customHeight="1">
      <c r="A2700" s="204" t="str">
        <f>IF(B2700&lt;&gt;"",IF(AND(B2700&gt;=_TM1,B2700&lt;=_TM2,OR(TH!L2700="1111",TH!M2700="1111")),TH!D2700,""),"")</f>
        <v/>
      </c>
      <c r="B2700" s="36">
        <f t="shared" si="154"/>
        <v>8</v>
      </c>
      <c r="C2700" s="48">
        <f t="shared" si="156"/>
        <v>41122</v>
      </c>
      <c r="D2700" s="48" t="s">
        <v>1737</v>
      </c>
      <c r="E2700" s="918">
        <v>41122</v>
      </c>
      <c r="F2700" s="49" t="s">
        <v>1070</v>
      </c>
      <c r="G2700" s="49" t="s">
        <v>1045</v>
      </c>
      <c r="H2700" s="909" t="s">
        <v>1705</v>
      </c>
      <c r="I2700" s="250">
        <v>92</v>
      </c>
      <c r="J2700" s="250">
        <v>6084.0514027650552</v>
      </c>
      <c r="K2700" s="51">
        <f t="shared" si="155"/>
        <v>559733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customHeight="1">
      <c r="A2701" s="204" t="str">
        <f>IF(B2701&lt;&gt;"",IF(AND(B2701&gt;=_TM1,B2701&lt;=_TM2,OR(TH!L2701="1111",TH!M2701="1111")),TH!D2701,""),"")</f>
        <v/>
      </c>
      <c r="B2701" s="36">
        <f t="shared" si="154"/>
        <v>8</v>
      </c>
      <c r="C2701" s="48">
        <f t="shared" si="156"/>
        <v>41124</v>
      </c>
      <c r="D2701" s="48" t="s">
        <v>1737</v>
      </c>
      <c r="E2701" s="918">
        <v>41124</v>
      </c>
      <c r="F2701" s="49" t="s">
        <v>1155</v>
      </c>
      <c r="G2701" s="49" t="s">
        <v>1046</v>
      </c>
      <c r="H2701" s="909" t="s">
        <v>1705</v>
      </c>
      <c r="I2701" s="250">
        <v>1000</v>
      </c>
      <c r="J2701" s="250">
        <v>16734.529663634621</v>
      </c>
      <c r="K2701" s="51">
        <f t="shared" si="155"/>
        <v>16734530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customHeight="1">
      <c r="A2702" s="204" t="str">
        <f>IF(B2702&lt;&gt;"",IF(AND(B2702&gt;=_TM1,B2702&lt;=_TM2,OR(TH!L2702="1111",TH!M2702="1111")),TH!D2702,""),"")</f>
        <v/>
      </c>
      <c r="B2702" s="36">
        <f t="shared" si="154"/>
        <v>8</v>
      </c>
      <c r="C2702" s="48">
        <f t="shared" si="156"/>
        <v>41125</v>
      </c>
      <c r="D2702" s="48" t="s">
        <v>1737</v>
      </c>
      <c r="E2702" s="918">
        <v>41125</v>
      </c>
      <c r="F2702" s="49" t="s">
        <v>1155</v>
      </c>
      <c r="G2702" s="49" t="s">
        <v>1047</v>
      </c>
      <c r="H2702" s="909" t="s">
        <v>1705</v>
      </c>
      <c r="I2702" s="250">
        <v>520</v>
      </c>
      <c r="J2702" s="250">
        <v>15542.683509788467</v>
      </c>
      <c r="K2702" s="51">
        <f t="shared" si="155"/>
        <v>8082195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customHeight="1">
      <c r="A2703" s="204" t="str">
        <f>IF(B2703&lt;&gt;"",IF(AND(B2703&gt;=_TM1,B2703&lt;=_TM2,OR(TH!L2703="1111",TH!M2703="1111")),TH!D2703,""),"")</f>
        <v/>
      </c>
      <c r="B2703" s="36">
        <f t="shared" si="154"/>
        <v>8</v>
      </c>
      <c r="C2703" s="48">
        <f t="shared" si="156"/>
        <v>41125</v>
      </c>
      <c r="D2703" s="48" t="s">
        <v>1737</v>
      </c>
      <c r="E2703" s="918">
        <v>41125</v>
      </c>
      <c r="F2703" s="734" t="s">
        <v>1152</v>
      </c>
      <c r="G2703" s="49" t="s">
        <v>1048</v>
      </c>
      <c r="H2703" s="909" t="s">
        <v>1705</v>
      </c>
      <c r="I2703" s="250">
        <v>993</v>
      </c>
      <c r="J2703" s="250">
        <v>4797.2476898179038</v>
      </c>
      <c r="K2703" s="51">
        <f t="shared" si="155"/>
        <v>4763667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customHeight="1">
      <c r="A2704" s="204" t="str">
        <f>IF(B2704&lt;&gt;"",IF(AND(B2704&gt;=_TM1,B2704&lt;=_TM2,OR(TH!L2704="1111",TH!M2704="1111")),TH!D2704,""),"")</f>
        <v/>
      </c>
      <c r="B2704" s="36">
        <f t="shared" si="154"/>
        <v>8</v>
      </c>
      <c r="C2704" s="48">
        <f t="shared" si="156"/>
        <v>41125</v>
      </c>
      <c r="D2704" s="48" t="s">
        <v>1737</v>
      </c>
      <c r="E2704" s="918">
        <v>41125</v>
      </c>
      <c r="F2704" s="49" t="s">
        <v>1153</v>
      </c>
      <c r="G2704" s="49" t="s">
        <v>1048</v>
      </c>
      <c r="H2704" s="909" t="s">
        <v>1705</v>
      </c>
      <c r="I2704" s="250">
        <v>1030</v>
      </c>
      <c r="J2704" s="250">
        <v>4854.7432558676301</v>
      </c>
      <c r="K2704" s="51">
        <f t="shared" si="155"/>
        <v>5000386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customHeight="1">
      <c r="A2705" s="204" t="str">
        <f>IF(B2705&lt;&gt;"",IF(AND(B2705&gt;=_TM1,B2705&lt;=_TM2,OR(TH!L2705="1111",TH!M2705="1111")),TH!D2705,""),"")</f>
        <v/>
      </c>
      <c r="B2705" s="36">
        <f t="shared" si="154"/>
        <v>8</v>
      </c>
      <c r="C2705" s="48">
        <f t="shared" si="156"/>
        <v>41125</v>
      </c>
      <c r="D2705" s="48" t="s">
        <v>1737</v>
      </c>
      <c r="E2705" s="918">
        <v>41125</v>
      </c>
      <c r="F2705" s="49" t="s">
        <v>1154</v>
      </c>
      <c r="G2705" s="49" t="s">
        <v>1048</v>
      </c>
      <c r="H2705" s="909" t="s">
        <v>1705</v>
      </c>
      <c r="I2705" s="250">
        <v>1010</v>
      </c>
      <c r="J2705" s="250">
        <v>6996.9950101692748</v>
      </c>
      <c r="K2705" s="51">
        <f t="shared" si="155"/>
        <v>7066965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customHeight="1">
      <c r="A2706" s="204" t="str">
        <f>IF(B2706&lt;&gt;"",IF(AND(B2706&gt;=_TM1,B2706&lt;=_TM2,OR(TH!L2706="1111",TH!M2706="1111")),TH!D2706,""),"")</f>
        <v/>
      </c>
      <c r="B2706" s="36">
        <f t="shared" si="154"/>
        <v>8</v>
      </c>
      <c r="C2706" s="48">
        <f t="shared" si="156"/>
        <v>41128</v>
      </c>
      <c r="D2706" s="48" t="s">
        <v>1737</v>
      </c>
      <c r="E2706" s="918">
        <v>41128</v>
      </c>
      <c r="F2706" s="49" t="s">
        <v>1138</v>
      </c>
      <c r="G2706" s="49" t="s">
        <v>1049</v>
      </c>
      <c r="H2706" s="909" t="s">
        <v>1705</v>
      </c>
      <c r="I2706" s="250">
        <v>1025</v>
      </c>
      <c r="J2706" s="250">
        <v>6301.4564929029139</v>
      </c>
      <c r="K2706" s="51">
        <f t="shared" si="155"/>
        <v>6458993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customHeight="1">
      <c r="A2707" s="204" t="str">
        <f>IF(B2707&lt;&gt;"",IF(AND(B2707&gt;=_TM1,B2707&lt;=_TM2,OR(TH!L2707="1111",TH!M2707="1111")),TH!D2707,""),"")</f>
        <v/>
      </c>
      <c r="B2707" s="36">
        <f t="shared" si="154"/>
        <v>8</v>
      </c>
      <c r="C2707" s="48">
        <f t="shared" si="156"/>
        <v>41129</v>
      </c>
      <c r="D2707" s="48" t="s">
        <v>1737</v>
      </c>
      <c r="E2707" s="918">
        <v>41129</v>
      </c>
      <c r="F2707" s="921" t="s">
        <v>1121</v>
      </c>
      <c r="G2707" s="49" t="s">
        <v>1050</v>
      </c>
      <c r="H2707" s="909" t="s">
        <v>1705</v>
      </c>
      <c r="I2707" s="250">
        <v>514</v>
      </c>
      <c r="J2707" s="250">
        <v>8259.222270638511</v>
      </c>
      <c r="K2707" s="51">
        <f t="shared" si="155"/>
        <v>4245240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customHeight="1">
      <c r="A2708" s="204" t="str">
        <f>IF(B2708&lt;&gt;"",IF(AND(B2708&gt;=_TM1,B2708&lt;=_TM2,OR(TH!L2708="1111",TH!M2708="1111")),TH!D2708,""),"")</f>
        <v/>
      </c>
      <c r="B2708" s="36">
        <f t="shared" si="154"/>
        <v>8</v>
      </c>
      <c r="C2708" s="48">
        <f t="shared" si="156"/>
        <v>41129</v>
      </c>
      <c r="D2708" s="48" t="s">
        <v>1737</v>
      </c>
      <c r="E2708" s="918">
        <v>41129</v>
      </c>
      <c r="F2708" s="49" t="s">
        <v>1132</v>
      </c>
      <c r="G2708" s="49" t="s">
        <v>1050</v>
      </c>
      <c r="H2708" s="909" t="s">
        <v>1705</v>
      </c>
      <c r="I2708" s="250">
        <v>794</v>
      </c>
      <c r="J2708" s="250">
        <v>11832.756363886509</v>
      </c>
      <c r="K2708" s="51">
        <f t="shared" si="155"/>
        <v>9395209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customHeight="1">
      <c r="A2709" s="204" t="str">
        <f>IF(B2709&lt;&gt;"",IF(AND(B2709&gt;=_TM1,B2709&lt;=_TM2,OR(TH!L2709="1111",TH!M2709="1111")),TH!D2709,""),"")</f>
        <v/>
      </c>
      <c r="B2709" s="36">
        <f t="shared" si="154"/>
        <v>8</v>
      </c>
      <c r="C2709" s="48">
        <f t="shared" si="156"/>
        <v>41129</v>
      </c>
      <c r="D2709" s="48" t="s">
        <v>1737</v>
      </c>
      <c r="E2709" s="918">
        <v>41129</v>
      </c>
      <c r="F2709" s="49" t="s">
        <v>1151</v>
      </c>
      <c r="G2709" s="49" t="s">
        <v>673</v>
      </c>
      <c r="H2709" s="909" t="s">
        <v>1705</v>
      </c>
      <c r="I2709" s="250">
        <v>920</v>
      </c>
      <c r="J2709" s="250">
        <v>4812.055750591142</v>
      </c>
      <c r="K2709" s="51">
        <f t="shared" si="155"/>
        <v>4427091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customHeight="1">
      <c r="A2710" s="204" t="str">
        <f>IF(B2710&lt;&gt;"",IF(AND(B2710&gt;=_TM1,B2710&lt;=_TM2,OR(TH!L2710="1111",TH!M2710="1111")),TH!D2710,""),"")</f>
        <v/>
      </c>
      <c r="B2710" s="36">
        <f t="shared" si="154"/>
        <v>8</v>
      </c>
      <c r="C2710" s="48">
        <f t="shared" si="156"/>
        <v>41136</v>
      </c>
      <c r="D2710" s="48" t="s">
        <v>1737</v>
      </c>
      <c r="E2710" s="918">
        <v>41136</v>
      </c>
      <c r="F2710" s="49" t="s">
        <v>1157</v>
      </c>
      <c r="G2710" s="49" t="s">
        <v>1051</v>
      </c>
      <c r="H2710" s="909" t="s">
        <v>1705</v>
      </c>
      <c r="I2710" s="250">
        <v>1024</v>
      </c>
      <c r="J2710" s="250">
        <v>9624.9417730096229</v>
      </c>
      <c r="K2710" s="51">
        <f t="shared" si="155"/>
        <v>9855940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customHeight="1">
      <c r="A2711" s="204" t="str">
        <f>IF(B2711&lt;&gt;"",IF(AND(B2711&gt;=_TM1,B2711&lt;=_TM2,OR(TH!L2711="1111",TH!M2711="1111")),TH!D2711,""),"")</f>
        <v/>
      </c>
      <c r="B2711" s="36">
        <f t="shared" si="154"/>
        <v>8</v>
      </c>
      <c r="C2711" s="48">
        <f t="shared" si="156"/>
        <v>41137</v>
      </c>
      <c r="D2711" s="48" t="s">
        <v>1737</v>
      </c>
      <c r="E2711" s="918">
        <v>41137</v>
      </c>
      <c r="F2711" s="49" t="s">
        <v>1145</v>
      </c>
      <c r="G2711" s="49" t="s">
        <v>1052</v>
      </c>
      <c r="H2711" s="909" t="s">
        <v>1705</v>
      </c>
      <c r="I2711" s="250">
        <v>507</v>
      </c>
      <c r="J2711" s="250">
        <v>9734.2850876977373</v>
      </c>
      <c r="K2711" s="51">
        <f t="shared" si="155"/>
        <v>4935283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customHeight="1">
      <c r="A2712" s="204" t="str">
        <f>IF(B2712&lt;&gt;"",IF(AND(B2712&gt;=_TM1,B2712&lt;=_TM2,OR(TH!L2712="1111",TH!M2712="1111")),TH!D2712,""),"")</f>
        <v/>
      </c>
      <c r="B2712" s="36">
        <f t="shared" si="154"/>
        <v>8</v>
      </c>
      <c r="C2712" s="48">
        <f t="shared" si="156"/>
        <v>41137</v>
      </c>
      <c r="D2712" s="48" t="s">
        <v>1737</v>
      </c>
      <c r="E2712" s="918">
        <v>41137</v>
      </c>
      <c r="F2712" s="734" t="s">
        <v>1150</v>
      </c>
      <c r="G2712" s="49" t="s">
        <v>1052</v>
      </c>
      <c r="H2712" s="909" t="s">
        <v>1705</v>
      </c>
      <c r="I2712" s="250">
        <v>203</v>
      </c>
      <c r="J2712" s="250">
        <v>5472.3572498415169</v>
      </c>
      <c r="K2712" s="51">
        <f t="shared" si="155"/>
        <v>1110889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customHeight="1">
      <c r="A2713" s="204" t="str">
        <f>IF(B2713&lt;&gt;"",IF(AND(B2713&gt;=_TM1,B2713&lt;=_TM2,OR(TH!L2713="1111",TH!M2713="1111")),TH!D2713,""),"")</f>
        <v/>
      </c>
      <c r="B2713" s="36">
        <f t="shared" si="154"/>
        <v>8</v>
      </c>
      <c r="C2713" s="48">
        <f t="shared" si="156"/>
        <v>41137</v>
      </c>
      <c r="D2713" s="48" t="s">
        <v>1737</v>
      </c>
      <c r="E2713" s="918">
        <v>41137</v>
      </c>
      <c r="F2713" s="49" t="s">
        <v>1053</v>
      </c>
      <c r="G2713" s="49" t="s">
        <v>1054</v>
      </c>
      <c r="H2713" s="909" t="s">
        <v>1705</v>
      </c>
      <c r="I2713" s="250">
        <v>3903</v>
      </c>
      <c r="J2713" s="250">
        <v>5189.9111650437926</v>
      </c>
      <c r="K2713" s="51">
        <f t="shared" si="155"/>
        <v>20256223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customHeight="1">
      <c r="A2714" s="204" t="str">
        <f>IF(B2714&lt;&gt;"",IF(AND(B2714&gt;=_TM1,B2714&lt;=_TM2,OR(TH!L2714="1111",TH!M2714="1111")),TH!D2714,""),"")</f>
        <v/>
      </c>
      <c r="B2714" s="36">
        <f t="shared" si="154"/>
        <v>8</v>
      </c>
      <c r="C2714" s="48">
        <f t="shared" si="156"/>
        <v>41137</v>
      </c>
      <c r="D2714" s="48" t="s">
        <v>1737</v>
      </c>
      <c r="E2714" s="918">
        <v>41137</v>
      </c>
      <c r="F2714" s="49" t="s">
        <v>1055</v>
      </c>
      <c r="G2714" s="49" t="s">
        <v>1054</v>
      </c>
      <c r="H2714" s="909" t="s">
        <v>1705</v>
      </c>
      <c r="I2714" s="250">
        <v>3010</v>
      </c>
      <c r="J2714" s="250">
        <v>5924.7854775881087</v>
      </c>
      <c r="K2714" s="51">
        <f t="shared" si="155"/>
        <v>17833604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customHeight="1">
      <c r="A2715" s="204" t="str">
        <f>IF(B2715&lt;&gt;"",IF(AND(B2715&gt;=_TM1,B2715&lt;=_TM2,OR(TH!L2715="1111",TH!M2715="1111")),TH!D2715,""),"")</f>
        <v/>
      </c>
      <c r="B2715" s="36">
        <f t="shared" si="154"/>
        <v>8</v>
      </c>
      <c r="C2715" s="48">
        <f t="shared" si="156"/>
        <v>41137</v>
      </c>
      <c r="D2715" s="48" t="s">
        <v>1737</v>
      </c>
      <c r="E2715" s="918">
        <v>41137</v>
      </c>
      <c r="F2715" s="49" t="s">
        <v>1056</v>
      </c>
      <c r="G2715" s="49" t="s">
        <v>1054</v>
      </c>
      <c r="H2715" s="909" t="s">
        <v>1705</v>
      </c>
      <c r="I2715" s="250">
        <v>310</v>
      </c>
      <c r="J2715" s="250">
        <v>5819.0328894410723</v>
      </c>
      <c r="K2715" s="51">
        <f t="shared" si="155"/>
        <v>1803900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customHeight="1">
      <c r="A2716" s="204" t="str">
        <f>IF(B2716&lt;&gt;"",IF(AND(B2716&gt;=_TM1,B2716&lt;=_TM2,OR(TH!L2716="1111",TH!M2716="1111")),TH!D2716,""),"")</f>
        <v/>
      </c>
      <c r="B2716" s="36">
        <f t="shared" si="154"/>
        <v>8</v>
      </c>
      <c r="C2716" s="48">
        <f t="shared" si="156"/>
        <v>41137</v>
      </c>
      <c r="D2716" s="48" t="s">
        <v>1737</v>
      </c>
      <c r="E2716" s="918">
        <v>41137</v>
      </c>
      <c r="F2716" s="734" t="s">
        <v>1057</v>
      </c>
      <c r="G2716" s="49" t="s">
        <v>1054</v>
      </c>
      <c r="H2716" s="909" t="s">
        <v>1705</v>
      </c>
      <c r="I2716" s="250">
        <v>252</v>
      </c>
      <c r="J2716" s="250">
        <v>5436.2598223647801</v>
      </c>
      <c r="K2716" s="51">
        <f t="shared" si="155"/>
        <v>1369937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customHeight="1">
      <c r="A2717" s="204" t="str">
        <f>IF(B2717&lt;&gt;"",IF(AND(B2717&gt;=_TM1,B2717&lt;=_TM2,OR(TH!L2717="1111",TH!M2717="1111")),TH!D2717,""),"")</f>
        <v/>
      </c>
      <c r="B2717" s="36">
        <f t="shared" si="154"/>
        <v>8</v>
      </c>
      <c r="C2717" s="48">
        <f t="shared" si="156"/>
        <v>41150</v>
      </c>
      <c r="D2717" s="48" t="s">
        <v>1737</v>
      </c>
      <c r="E2717" s="918">
        <v>41150</v>
      </c>
      <c r="F2717" s="49" t="s">
        <v>1114</v>
      </c>
      <c r="G2717" s="49" t="s">
        <v>1058</v>
      </c>
      <c r="H2717" s="909" t="s">
        <v>1705</v>
      </c>
      <c r="I2717" s="250">
        <v>3060</v>
      </c>
      <c r="J2717" s="250">
        <v>13501.379336837235</v>
      </c>
      <c r="K2717" s="51">
        <f t="shared" si="155"/>
        <v>41314221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customHeight="1">
      <c r="A2718" s="204" t="str">
        <f>IF(B2718&lt;&gt;"",IF(AND(B2718&gt;=_TM1,B2718&lt;=_TM2,OR(TH!L2718="1111",TH!M2718="1111")),TH!D2718,""),"")</f>
        <v/>
      </c>
      <c r="B2718" s="36">
        <f t="shared" si="154"/>
        <v>8</v>
      </c>
      <c r="C2718" s="48">
        <f t="shared" si="156"/>
        <v>41150</v>
      </c>
      <c r="D2718" s="48" t="s">
        <v>1737</v>
      </c>
      <c r="E2718" s="918">
        <v>41150</v>
      </c>
      <c r="F2718" s="49" t="s">
        <v>1149</v>
      </c>
      <c r="G2718" s="49" t="s">
        <v>431</v>
      </c>
      <c r="H2718" s="909" t="s">
        <v>1705</v>
      </c>
      <c r="I2718" s="250">
        <v>303</v>
      </c>
      <c r="J2718" s="250">
        <v>15345.829993667621</v>
      </c>
      <c r="K2718" s="51">
        <f t="shared" si="155"/>
        <v>4649786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customHeight="1">
      <c r="A2719" s="204" t="str">
        <f>IF(B2719&lt;&gt;"",IF(AND(B2719&gt;=_TM1,B2719&lt;=_TM2,OR(TH!L2719="1111",TH!M2719="1111")),TH!D2719,""),"")</f>
        <v/>
      </c>
      <c r="B2719" s="36">
        <f t="shared" si="154"/>
        <v>8</v>
      </c>
      <c r="C2719" s="48">
        <f t="shared" si="156"/>
        <v>41150</v>
      </c>
      <c r="D2719" s="48" t="s">
        <v>1737</v>
      </c>
      <c r="E2719" s="918">
        <v>41150</v>
      </c>
      <c r="F2719" s="49" t="s">
        <v>1148</v>
      </c>
      <c r="G2719" s="49" t="s">
        <v>431</v>
      </c>
      <c r="H2719" s="909" t="s">
        <v>1705</v>
      </c>
      <c r="I2719" s="250">
        <v>303</v>
      </c>
      <c r="J2719" s="250">
        <v>14290.318442512509</v>
      </c>
      <c r="K2719" s="51">
        <f t="shared" si="155"/>
        <v>4329966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customHeight="1">
      <c r="A2720" s="204" t="str">
        <f>IF(B2720&lt;&gt;"",IF(AND(B2720&gt;=_TM1,B2720&lt;=_TM2,OR(TH!L2720="1111",TH!M2720="1111")),TH!D2720,""),"")</f>
        <v/>
      </c>
      <c r="B2720" s="36">
        <f t="shared" si="154"/>
        <v>9</v>
      </c>
      <c r="C2720" s="48">
        <f t="shared" si="156"/>
        <v>41153</v>
      </c>
      <c r="D2720" s="48" t="s">
        <v>1737</v>
      </c>
      <c r="E2720" s="918">
        <v>41153</v>
      </c>
      <c r="F2720" s="734" t="s">
        <v>1125</v>
      </c>
      <c r="G2720" s="49" t="s">
        <v>1059</v>
      </c>
      <c r="H2720" s="909" t="s">
        <v>1705</v>
      </c>
      <c r="I2720" s="250">
        <v>1060</v>
      </c>
      <c r="J2720" s="250">
        <v>7147.2796636346211</v>
      </c>
      <c r="K2720" s="51">
        <f t="shared" si="155"/>
        <v>7576116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customHeight="1">
      <c r="A2721" s="204" t="str">
        <f>IF(B2721&lt;&gt;"",IF(AND(B2721&gt;=_TM1,B2721&lt;=_TM2,OR(TH!L2721="1111",TH!M2721="1111")),TH!D2721,""),"")</f>
        <v/>
      </c>
      <c r="B2721" s="36">
        <f t="shared" si="154"/>
        <v>9</v>
      </c>
      <c r="C2721" s="48">
        <f t="shared" si="156"/>
        <v>41158</v>
      </c>
      <c r="D2721" s="48" t="s">
        <v>1737</v>
      </c>
      <c r="E2721" s="918">
        <v>41158</v>
      </c>
      <c r="F2721" s="921" t="s">
        <v>1121</v>
      </c>
      <c r="G2721" s="49" t="s">
        <v>1060</v>
      </c>
      <c r="H2721" s="909" t="s">
        <v>1705</v>
      </c>
      <c r="I2721" s="250">
        <v>1020</v>
      </c>
      <c r="J2721" s="250">
        <v>7575.3531930463851</v>
      </c>
      <c r="K2721" s="51">
        <f t="shared" si="155"/>
        <v>7726860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customHeight="1">
      <c r="A2722" s="204" t="str">
        <f>IF(B2722&lt;&gt;"",IF(AND(B2722&gt;=_TM1,B2722&lt;=_TM2,OR(TH!L2722="1111",TH!M2722="1111")),TH!D2722,""),"")</f>
        <v/>
      </c>
      <c r="B2722" s="36">
        <f t="shared" si="154"/>
        <v>9</v>
      </c>
      <c r="C2722" s="48">
        <f t="shared" si="156"/>
        <v>41162</v>
      </c>
      <c r="D2722" s="48" t="s">
        <v>1737</v>
      </c>
      <c r="E2722" s="918">
        <v>41162</v>
      </c>
      <c r="F2722" s="734" t="s">
        <v>1147</v>
      </c>
      <c r="G2722" s="49" t="s">
        <v>1061</v>
      </c>
      <c r="H2722" s="909" t="s">
        <v>1705</v>
      </c>
      <c r="I2722" s="250">
        <v>108</v>
      </c>
      <c r="J2722" s="250">
        <v>36946.529663634617</v>
      </c>
      <c r="K2722" s="51">
        <f t="shared" si="155"/>
        <v>3990225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customHeight="1">
      <c r="A2723" s="204" t="str">
        <f>IF(B2723&lt;&gt;"",IF(AND(B2723&gt;=_TM1,B2723&lt;=_TM2,OR(TH!L2723="1111",TH!M2723="1111")),TH!D2723,""),"")</f>
        <v/>
      </c>
      <c r="B2723" s="36">
        <f t="shared" si="154"/>
        <v>9</v>
      </c>
      <c r="C2723" s="48">
        <f t="shared" si="156"/>
        <v>41162</v>
      </c>
      <c r="D2723" s="48" t="s">
        <v>1737</v>
      </c>
      <c r="E2723" s="918">
        <v>41162</v>
      </c>
      <c r="F2723" s="734" t="s">
        <v>1146</v>
      </c>
      <c r="G2723" s="49" t="s">
        <v>1061</v>
      </c>
      <c r="H2723" s="909" t="s">
        <v>1705</v>
      </c>
      <c r="I2723" s="250">
        <v>63</v>
      </c>
      <c r="J2723" s="250">
        <v>32162.529663634621</v>
      </c>
      <c r="K2723" s="51">
        <f t="shared" si="155"/>
        <v>2026239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customHeight="1">
      <c r="A2724" s="204" t="str">
        <f>IF(B2724&lt;&gt;"",IF(AND(B2724&gt;=_TM1,B2724&lt;=_TM2,OR(TH!L2724="1111",TH!M2724="1111")),TH!D2724,""),"")</f>
        <v/>
      </c>
      <c r="B2724" s="36">
        <f t="shared" si="154"/>
        <v>9</v>
      </c>
      <c r="C2724" s="48">
        <f t="shared" si="156"/>
        <v>41162</v>
      </c>
      <c r="D2724" s="48" t="s">
        <v>1737</v>
      </c>
      <c r="E2724" s="918">
        <v>41162</v>
      </c>
      <c r="F2724" s="49" t="s">
        <v>1128</v>
      </c>
      <c r="G2724" s="49" t="s">
        <v>432</v>
      </c>
      <c r="H2724" s="909" t="s">
        <v>1705</v>
      </c>
      <c r="I2724" s="250">
        <v>590</v>
      </c>
      <c r="J2724" s="250">
        <v>12766.088985668517</v>
      </c>
      <c r="K2724" s="51">
        <f t="shared" si="155"/>
        <v>7531993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customHeight="1">
      <c r="A2725" s="204" t="str">
        <f>IF(B2725&lt;&gt;"",IF(AND(B2725&gt;=_TM1,B2725&lt;=_TM2,OR(TH!L2725="1111",TH!M2725="1111")),TH!D2725,""),"")</f>
        <v/>
      </c>
      <c r="B2725" s="36">
        <f t="shared" si="154"/>
        <v>9</v>
      </c>
      <c r="C2725" s="48">
        <f t="shared" si="156"/>
        <v>41162</v>
      </c>
      <c r="D2725" s="48" t="s">
        <v>1737</v>
      </c>
      <c r="E2725" s="918">
        <v>41162</v>
      </c>
      <c r="F2725" s="919" t="s">
        <v>1129</v>
      </c>
      <c r="G2725" s="49" t="s">
        <v>432</v>
      </c>
      <c r="H2725" s="909" t="s">
        <v>1705</v>
      </c>
      <c r="I2725" s="250">
        <v>199</v>
      </c>
      <c r="J2725" s="250">
        <v>9270.3688596145203</v>
      </c>
      <c r="K2725" s="51">
        <f t="shared" si="155"/>
        <v>1844803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customHeight="1">
      <c r="A2726" s="204" t="str">
        <f>IF(B2726&lt;&gt;"",IF(AND(B2726&gt;=_TM1,B2726&lt;=_TM2,OR(TH!L2726="1111",TH!M2726="1111")),TH!D2726,""),"")</f>
        <v/>
      </c>
      <c r="B2726" s="36">
        <f t="shared" si="154"/>
        <v>9</v>
      </c>
      <c r="C2726" s="48">
        <f t="shared" si="156"/>
        <v>41162</v>
      </c>
      <c r="D2726" s="48" t="s">
        <v>1737</v>
      </c>
      <c r="E2726" s="918">
        <v>41162</v>
      </c>
      <c r="F2726" s="49" t="s">
        <v>1739</v>
      </c>
      <c r="G2726" s="49" t="s">
        <v>432</v>
      </c>
      <c r="H2726" s="909" t="s">
        <v>1705</v>
      </c>
      <c r="I2726" s="250">
        <v>303</v>
      </c>
      <c r="J2726" s="250">
        <v>11865.896000268285</v>
      </c>
      <c r="K2726" s="51">
        <f t="shared" si="155"/>
        <v>3595366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customHeight="1">
      <c r="A2727" s="204" t="str">
        <f>IF(B2727&lt;&gt;"",IF(AND(B2727&gt;=_TM1,B2727&lt;=_TM2,OR(TH!L2727="1111",TH!M2727="1111")),TH!D2727,""),"")</f>
        <v/>
      </c>
      <c r="B2727" s="36">
        <f t="shared" si="154"/>
        <v>9</v>
      </c>
      <c r="C2727" s="48">
        <f t="shared" si="156"/>
        <v>41162</v>
      </c>
      <c r="D2727" s="48" t="s">
        <v>1737</v>
      </c>
      <c r="E2727" s="918">
        <v>41162</v>
      </c>
      <c r="F2727" s="49" t="s">
        <v>1062</v>
      </c>
      <c r="G2727" s="49" t="s">
        <v>1063</v>
      </c>
      <c r="H2727" s="909" t="s">
        <v>1705</v>
      </c>
      <c r="I2727" s="250">
        <v>100</v>
      </c>
      <c r="J2727" s="250">
        <v>6189.1296636346206</v>
      </c>
      <c r="K2727" s="51">
        <f t="shared" si="155"/>
        <v>618913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customHeight="1">
      <c r="A2728" s="204" t="str">
        <f>IF(B2728&lt;&gt;"",IF(AND(B2728&gt;=_TM1,B2728&lt;=_TM2,OR(TH!L2728="1111",TH!M2728="1111")),TH!D2728,""),"")</f>
        <v/>
      </c>
      <c r="B2728" s="36">
        <f t="shared" si="154"/>
        <v>9</v>
      </c>
      <c r="C2728" s="48">
        <f t="shared" si="156"/>
        <v>41162</v>
      </c>
      <c r="D2728" s="48" t="s">
        <v>1737</v>
      </c>
      <c r="E2728" s="918">
        <v>41162</v>
      </c>
      <c r="F2728" s="49" t="s">
        <v>1229</v>
      </c>
      <c r="G2728" s="49" t="s">
        <v>1063</v>
      </c>
      <c r="H2728" s="909" t="s">
        <v>1705</v>
      </c>
      <c r="I2728" s="250">
        <v>228</v>
      </c>
      <c r="J2728" s="250">
        <v>4765.6875583714636</v>
      </c>
      <c r="K2728" s="51">
        <f t="shared" si="155"/>
        <v>1086577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customHeight="1">
      <c r="A2729" s="204" t="str">
        <f>IF(B2729&lt;&gt;"",IF(AND(B2729&gt;=_TM1,B2729&lt;=_TM2,OR(TH!L2729="1111",TH!M2729="1111")),TH!D2729,""),"")</f>
        <v/>
      </c>
      <c r="B2729" s="36">
        <f t="shared" si="154"/>
        <v>9</v>
      </c>
      <c r="C2729" s="48">
        <f t="shared" si="156"/>
        <v>41163</v>
      </c>
      <c r="D2729" s="48" t="s">
        <v>1737</v>
      </c>
      <c r="E2729" s="918">
        <v>41163</v>
      </c>
      <c r="F2729" s="49" t="s">
        <v>1229</v>
      </c>
      <c r="G2729" s="49" t="s">
        <v>1064</v>
      </c>
      <c r="H2729" s="909" t="s">
        <v>1705</v>
      </c>
      <c r="I2729" s="250">
        <v>808</v>
      </c>
      <c r="J2729" s="250">
        <v>4688.1732279910557</v>
      </c>
      <c r="K2729" s="51">
        <f t="shared" si="155"/>
        <v>3788044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customHeight="1">
      <c r="A2730" s="204" t="str">
        <f>IF(B2730&lt;&gt;"",IF(AND(B2730&gt;=_TM1,B2730&lt;=_TM2,OR(TH!L2730="1111",TH!M2730="1111")),TH!D2730,""),"")</f>
        <v/>
      </c>
      <c r="B2730" s="36">
        <f t="shared" si="154"/>
        <v>9</v>
      </c>
      <c r="C2730" s="48">
        <f t="shared" si="156"/>
        <v>41163</v>
      </c>
      <c r="D2730" s="48" t="s">
        <v>1737</v>
      </c>
      <c r="E2730" s="918">
        <v>41163</v>
      </c>
      <c r="F2730" s="49" t="s">
        <v>1230</v>
      </c>
      <c r="G2730" s="49" t="s">
        <v>1064</v>
      </c>
      <c r="H2730" s="909" t="s">
        <v>1705</v>
      </c>
      <c r="I2730" s="250">
        <v>209</v>
      </c>
      <c r="J2730" s="250">
        <v>6609.7928215293578</v>
      </c>
      <c r="K2730" s="51">
        <f t="shared" si="155"/>
        <v>1381447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customHeight="1">
      <c r="A2731" s="204" t="str">
        <f>IF(B2731&lt;&gt;"",IF(AND(B2731&gt;=_TM1,B2731&lt;=_TM2,OR(TH!L2731="1111",TH!M2731="1111")),TH!D2731,""),"")</f>
        <v/>
      </c>
      <c r="B2731" s="36">
        <f t="shared" si="154"/>
        <v>9</v>
      </c>
      <c r="C2731" s="48">
        <f t="shared" si="156"/>
        <v>41163</v>
      </c>
      <c r="D2731" s="48" t="s">
        <v>1737</v>
      </c>
      <c r="E2731" s="918">
        <v>41163</v>
      </c>
      <c r="F2731" s="49" t="s">
        <v>1231</v>
      </c>
      <c r="G2731" s="49" t="s">
        <v>1064</v>
      </c>
      <c r="H2731" s="909" t="s">
        <v>1705</v>
      </c>
      <c r="I2731" s="250">
        <v>104</v>
      </c>
      <c r="J2731" s="250">
        <v>4459.5296636346211</v>
      </c>
      <c r="K2731" s="51">
        <f t="shared" si="155"/>
        <v>463791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customHeight="1">
      <c r="A2732" s="204" t="str">
        <f>IF(B2732&lt;&gt;"",IF(AND(B2732&gt;=_TM1,B2732&lt;=_TM2,OR(TH!L2732="1111",TH!M2732="1111")),TH!D2732,""),"")</f>
        <v/>
      </c>
      <c r="B2732" s="36">
        <f t="shared" si="154"/>
        <v>9</v>
      </c>
      <c r="C2732" s="48">
        <f t="shared" si="156"/>
        <v>41163</v>
      </c>
      <c r="D2732" s="48" t="s">
        <v>1737</v>
      </c>
      <c r="E2732" s="918">
        <v>41163</v>
      </c>
      <c r="F2732" s="734" t="s">
        <v>1222</v>
      </c>
      <c r="G2732" s="49" t="s">
        <v>1064</v>
      </c>
      <c r="H2732" s="909" t="s">
        <v>1705</v>
      </c>
      <c r="I2732" s="250">
        <v>2000</v>
      </c>
      <c r="J2732" s="250">
        <v>2171.3096636346204</v>
      </c>
      <c r="K2732" s="51">
        <f t="shared" si="155"/>
        <v>4342619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customHeight="1">
      <c r="A2733" s="204" t="str">
        <f>IF(B2733&lt;&gt;"",IF(AND(B2733&gt;=_TM1,B2733&lt;=_TM2,OR(TH!L2733="1111",TH!M2733="1111")),TH!D2733,""),"")</f>
        <v/>
      </c>
      <c r="B2733" s="36">
        <f t="shared" si="154"/>
        <v>9</v>
      </c>
      <c r="C2733" s="48">
        <f t="shared" si="156"/>
        <v>41163</v>
      </c>
      <c r="D2733" s="48" t="s">
        <v>1737</v>
      </c>
      <c r="E2733" s="918">
        <v>41163</v>
      </c>
      <c r="F2733" s="734" t="s">
        <v>1228</v>
      </c>
      <c r="G2733" s="49" t="s">
        <v>1064</v>
      </c>
      <c r="H2733" s="909" t="s">
        <v>1705</v>
      </c>
      <c r="I2733" s="250">
        <v>400</v>
      </c>
      <c r="J2733" s="250">
        <v>2213.504663634621</v>
      </c>
      <c r="K2733" s="51">
        <f t="shared" si="155"/>
        <v>885402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customHeight="1">
      <c r="A2734" s="204" t="str">
        <f>IF(B2734&lt;&gt;"",IF(AND(B2734&gt;=_TM1,B2734&lt;=_TM2,OR(TH!L2734="1111",TH!M2734="1111")),TH!D2734,""),"")</f>
        <v/>
      </c>
      <c r="B2734" s="36">
        <f t="shared" si="154"/>
        <v>9</v>
      </c>
      <c r="C2734" s="48">
        <f t="shared" si="156"/>
        <v>41169</v>
      </c>
      <c r="D2734" s="48" t="s">
        <v>1737</v>
      </c>
      <c r="E2734" s="918">
        <v>41169</v>
      </c>
      <c r="F2734" s="921" t="s">
        <v>1121</v>
      </c>
      <c r="G2734" s="49" t="s">
        <v>1065</v>
      </c>
      <c r="H2734" s="909" t="s">
        <v>1705</v>
      </c>
      <c r="I2734" s="250">
        <v>515</v>
      </c>
      <c r="J2734" s="250">
        <v>7376.3549063530672</v>
      </c>
      <c r="K2734" s="51">
        <f t="shared" si="155"/>
        <v>3798823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customHeight="1">
      <c r="A2735" s="204" t="str">
        <f>IF(B2735&lt;&gt;"",IF(AND(B2735&gt;=_TM1,B2735&lt;=_TM2,OR(TH!L2735="1111",TH!M2735="1111")),TH!D2735,""),"")</f>
        <v/>
      </c>
      <c r="B2735" s="36">
        <f t="shared" si="154"/>
        <v>9</v>
      </c>
      <c r="C2735" s="48">
        <f t="shared" si="156"/>
        <v>41169</v>
      </c>
      <c r="D2735" s="48" t="s">
        <v>1737</v>
      </c>
      <c r="E2735" s="918">
        <v>41169</v>
      </c>
      <c r="F2735" s="921" t="s">
        <v>1121</v>
      </c>
      <c r="G2735" s="49" t="s">
        <v>1065</v>
      </c>
      <c r="H2735" s="909" t="s">
        <v>1705</v>
      </c>
      <c r="I2735" s="250">
        <v>590</v>
      </c>
      <c r="J2735" s="250">
        <v>6842.7839009227564</v>
      </c>
      <c r="K2735" s="51">
        <f t="shared" si="155"/>
        <v>4037243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s="894" customFormat="1" ht="15.75" customHeight="1">
      <c r="A2736" s="910" t="str">
        <f>IF(B2736&lt;&gt;"",IF(AND(B2736&gt;=_TM1,B2736&lt;=_TM2,OR(TH!L2736="1111",TH!M2736="1111")),TH!D2736,""),"")</f>
        <v/>
      </c>
      <c r="B2736" s="885">
        <f t="shared" si="154"/>
        <v>10</v>
      </c>
      <c r="C2736" s="911">
        <f t="shared" si="156"/>
        <v>41183</v>
      </c>
      <c r="D2736" s="48" t="s">
        <v>1737</v>
      </c>
      <c r="E2736" s="886">
        <v>41183</v>
      </c>
      <c r="F2736" s="916" t="s">
        <v>1145</v>
      </c>
      <c r="G2736" s="916" t="s">
        <v>1066</v>
      </c>
      <c r="H2736" s="914" t="s">
        <v>1705</v>
      </c>
      <c r="I2736" s="890">
        <v>508</v>
      </c>
      <c r="J2736" s="890">
        <v>10711.842452385759</v>
      </c>
      <c r="K2736" s="891">
        <f t="shared" si="155"/>
        <v>5441616</v>
      </c>
      <c r="L2736" s="912" t="s">
        <v>177</v>
      </c>
      <c r="M2736" s="91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customHeight="1">
      <c r="A2737" s="204" t="str">
        <f>IF(B2737&lt;&gt;"",IF(AND(B2737&gt;=_TM1,B2737&lt;=_TM2,OR(TH!L2737="1111",TH!M2737="1111")),TH!D2737,""),"")</f>
        <v/>
      </c>
      <c r="B2737" s="36">
        <f t="shared" si="154"/>
        <v>10</v>
      </c>
      <c r="C2737" s="48">
        <f t="shared" si="156"/>
        <v>41194</v>
      </c>
      <c r="D2737" s="48" t="s">
        <v>1737</v>
      </c>
      <c r="E2737" s="918">
        <v>41194</v>
      </c>
      <c r="F2737" s="49" t="s">
        <v>1132</v>
      </c>
      <c r="G2737" s="49" t="s">
        <v>433</v>
      </c>
      <c r="H2737" s="909" t="s">
        <v>1705</v>
      </c>
      <c r="I2737" s="250">
        <v>500</v>
      </c>
      <c r="J2737" s="250">
        <v>10652.618</v>
      </c>
      <c r="K2737" s="51">
        <f t="shared" si="155"/>
        <v>5326309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customHeight="1">
      <c r="A2738" s="204" t="str">
        <f>IF(B2738&lt;&gt;"",IF(AND(B2738&gt;=_TM1,B2738&lt;=_TM2,OR(TH!L2738="1111",TH!M2738="1111")),TH!D2738,""),"")</f>
        <v/>
      </c>
      <c r="B2738" s="36">
        <f t="shared" si="154"/>
        <v>10</v>
      </c>
      <c r="C2738" s="48">
        <f t="shared" si="156"/>
        <v>41194</v>
      </c>
      <c r="D2738" s="48" t="s">
        <v>1737</v>
      </c>
      <c r="E2738" s="918">
        <v>41194</v>
      </c>
      <c r="F2738" s="921" t="s">
        <v>1121</v>
      </c>
      <c r="G2738" s="49" t="s">
        <v>433</v>
      </c>
      <c r="H2738" s="909" t="s">
        <v>1705</v>
      </c>
      <c r="I2738" s="250">
        <v>508</v>
      </c>
      <c r="J2738" s="250">
        <v>7523.9665354330709</v>
      </c>
      <c r="K2738" s="51">
        <f t="shared" si="155"/>
        <v>3822175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customHeight="1">
      <c r="A2739" s="204" t="str">
        <f>IF(B2739&lt;&gt;"",IF(AND(B2739&gt;=_TM1,B2739&lt;=_TM2,OR(TH!L2739="1111",TH!M2739="1111")),TH!D2739,""),"")</f>
        <v/>
      </c>
      <c r="B2739" s="36">
        <f t="shared" si="154"/>
        <v>10</v>
      </c>
      <c r="C2739" s="48">
        <f t="shared" si="156"/>
        <v>41194</v>
      </c>
      <c r="D2739" s="48" t="s">
        <v>1737</v>
      </c>
      <c r="E2739" s="918">
        <v>41194</v>
      </c>
      <c r="F2739" s="49" t="s">
        <v>1143</v>
      </c>
      <c r="G2739" s="49" t="s">
        <v>622</v>
      </c>
      <c r="H2739" s="909" t="s">
        <v>1705</v>
      </c>
      <c r="I2739" s="250">
        <v>1000</v>
      </c>
      <c r="J2739" s="250">
        <v>10779.965</v>
      </c>
      <c r="K2739" s="51">
        <f t="shared" si="155"/>
        <v>10779965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customHeight="1">
      <c r="A2740" s="204" t="str">
        <f>IF(B2740&lt;&gt;"",IF(AND(B2740&gt;=_TM1,B2740&lt;=_TM2,OR(TH!L2740="1111",TH!M2740="1111")),TH!D2740,""),"")</f>
        <v/>
      </c>
      <c r="B2740" s="36">
        <f t="shared" si="154"/>
        <v>10</v>
      </c>
      <c r="C2740" s="48">
        <f t="shared" si="156"/>
        <v>41194</v>
      </c>
      <c r="D2740" s="48" t="s">
        <v>1737</v>
      </c>
      <c r="E2740" s="918">
        <v>41194</v>
      </c>
      <c r="F2740" s="49" t="s">
        <v>1142</v>
      </c>
      <c r="G2740" s="49" t="s">
        <v>622</v>
      </c>
      <c r="H2740" s="909" t="s">
        <v>1705</v>
      </c>
      <c r="I2740" s="250">
        <v>200</v>
      </c>
      <c r="J2740" s="250">
        <v>12226.97</v>
      </c>
      <c r="K2740" s="51">
        <f t="shared" si="155"/>
        <v>2445394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customHeight="1">
      <c r="A2741" s="204" t="str">
        <f>IF(B2741&lt;&gt;"",IF(AND(B2741&gt;=_TM1,B2741&lt;=_TM2,OR(TH!L2741="1111",TH!M2741="1111")),TH!D2741,""),"")</f>
        <v/>
      </c>
      <c r="B2741" s="36">
        <f t="shared" si="154"/>
        <v>10</v>
      </c>
      <c r="C2741" s="48">
        <f t="shared" si="156"/>
        <v>41194</v>
      </c>
      <c r="D2741" s="48" t="s">
        <v>1737</v>
      </c>
      <c r="E2741" s="918">
        <v>41194</v>
      </c>
      <c r="F2741" s="49" t="s">
        <v>1144</v>
      </c>
      <c r="G2741" s="49" t="s">
        <v>622</v>
      </c>
      <c r="H2741" s="909" t="s">
        <v>1705</v>
      </c>
      <c r="I2741" s="250">
        <v>100</v>
      </c>
      <c r="J2741" s="250">
        <v>12104.47</v>
      </c>
      <c r="K2741" s="51">
        <f t="shared" si="155"/>
        <v>1210447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customHeight="1">
      <c r="A2742" s="204" t="str">
        <f>IF(B2742&lt;&gt;"",IF(AND(B2742&gt;=_TM1,B2742&lt;=_TM2,OR(TH!L2742="1111",TH!M2742="1111")),TH!D2742,""),"")</f>
        <v/>
      </c>
      <c r="B2742" s="36">
        <f t="shared" si="154"/>
        <v>10</v>
      </c>
      <c r="C2742" s="48">
        <f t="shared" si="156"/>
        <v>41195</v>
      </c>
      <c r="D2742" s="48" t="s">
        <v>1737</v>
      </c>
      <c r="E2742" s="918">
        <v>41195</v>
      </c>
      <c r="F2742" s="49" t="s">
        <v>1143</v>
      </c>
      <c r="G2742" s="49" t="s">
        <v>1067</v>
      </c>
      <c r="H2742" s="909" t="s">
        <v>1705</v>
      </c>
      <c r="I2742" s="250">
        <v>1000</v>
      </c>
      <c r="J2742" s="250">
        <v>10779.965</v>
      </c>
      <c r="K2742" s="51">
        <f t="shared" si="155"/>
        <v>10779965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customHeight="1">
      <c r="A2743" s="204" t="str">
        <f>IF(B2743&lt;&gt;"",IF(AND(B2743&gt;=_TM1,B2743&lt;=_TM2,OR(TH!L2743="1111",TH!M2743="1111")),TH!D2743,""),"")</f>
        <v/>
      </c>
      <c r="B2743" s="36">
        <f t="shared" si="154"/>
        <v>10</v>
      </c>
      <c r="C2743" s="48">
        <f t="shared" si="156"/>
        <v>41195</v>
      </c>
      <c r="D2743" s="48" t="s">
        <v>1737</v>
      </c>
      <c r="E2743" s="918">
        <v>41195</v>
      </c>
      <c r="F2743" s="49" t="s">
        <v>1142</v>
      </c>
      <c r="G2743" s="49" t="s">
        <v>1067</v>
      </c>
      <c r="H2743" s="909" t="s">
        <v>1705</v>
      </c>
      <c r="I2743" s="250">
        <v>300</v>
      </c>
      <c r="J2743" s="250">
        <v>12226.966666666667</v>
      </c>
      <c r="K2743" s="51">
        <f t="shared" si="155"/>
        <v>3668090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customHeight="1">
      <c r="A2744" s="204" t="str">
        <f>IF(B2744&lt;&gt;"",IF(AND(B2744&gt;=_TM1,B2744&lt;=_TM2,OR(TH!L2744="1111",TH!M2744="1111")),TH!D2744,""),"")</f>
        <v/>
      </c>
      <c r="B2744" s="36">
        <f t="shared" si="154"/>
        <v>10</v>
      </c>
      <c r="C2744" s="48">
        <f t="shared" si="156"/>
        <v>41195</v>
      </c>
      <c r="D2744" s="48" t="s">
        <v>1737</v>
      </c>
      <c r="E2744" s="918">
        <v>41195</v>
      </c>
      <c r="F2744" s="49" t="s">
        <v>1141</v>
      </c>
      <c r="G2744" s="49" t="s">
        <v>1067</v>
      </c>
      <c r="H2744" s="909" t="s">
        <v>1705</v>
      </c>
      <c r="I2744" s="250">
        <v>100</v>
      </c>
      <c r="J2744" s="250">
        <v>10591.47</v>
      </c>
      <c r="K2744" s="51">
        <f t="shared" si="155"/>
        <v>1059147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customHeight="1">
      <c r="A2745" s="204" t="str">
        <f>IF(B2745&lt;&gt;"",IF(AND(B2745&gt;=_TM1,B2745&lt;=_TM2,OR(TH!L2745="1111",TH!M2745="1111")),TH!D2745,""),"")</f>
        <v/>
      </c>
      <c r="B2745" s="36">
        <f t="shared" si="154"/>
        <v>10</v>
      </c>
      <c r="C2745" s="48">
        <f t="shared" si="156"/>
        <v>41198</v>
      </c>
      <c r="D2745" s="48" t="s">
        <v>1737</v>
      </c>
      <c r="E2745" s="918">
        <v>41198</v>
      </c>
      <c r="F2745" s="49" t="s">
        <v>1140</v>
      </c>
      <c r="G2745" s="49" t="s">
        <v>434</v>
      </c>
      <c r="H2745" s="909" t="s">
        <v>1705</v>
      </c>
      <c r="I2745" s="250">
        <v>495</v>
      </c>
      <c r="J2745" s="250">
        <v>7533.212121212121</v>
      </c>
      <c r="K2745" s="51">
        <f t="shared" si="155"/>
        <v>3728940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customHeight="1">
      <c r="A2746" s="204" t="str">
        <f>IF(B2746&lt;&gt;"",IF(AND(B2746&gt;=_TM1,B2746&lt;=_TM2,OR(TH!L2746="1111",TH!M2746="1111")),TH!D2746,""),"")</f>
        <v/>
      </c>
      <c r="B2746" s="36">
        <f t="shared" si="154"/>
        <v>10</v>
      </c>
      <c r="C2746" s="48">
        <f t="shared" si="156"/>
        <v>41199</v>
      </c>
      <c r="D2746" s="48" t="s">
        <v>1737</v>
      </c>
      <c r="E2746" s="918">
        <v>41199</v>
      </c>
      <c r="F2746" s="49" t="s">
        <v>1132</v>
      </c>
      <c r="G2746" s="49" t="s">
        <v>1068</v>
      </c>
      <c r="H2746" s="909" t="s">
        <v>1705</v>
      </c>
      <c r="I2746" s="250">
        <v>489</v>
      </c>
      <c r="J2746" s="250">
        <v>10763.417177914111</v>
      </c>
      <c r="K2746" s="51">
        <f t="shared" si="155"/>
        <v>5263311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customHeight="1">
      <c r="A2747" s="204" t="str">
        <f>IF(B2747&lt;&gt;"",IF(AND(B2747&gt;=_TM1,B2747&lt;=_TM2,OR(TH!L2747="1111",TH!M2747="1111")),TH!D2747,""),"")</f>
        <v/>
      </c>
      <c r="B2747" s="36">
        <f t="shared" si="154"/>
        <v>10</v>
      </c>
      <c r="C2747" s="48">
        <f t="shared" si="156"/>
        <v>41199</v>
      </c>
      <c r="D2747" s="48" t="s">
        <v>1737</v>
      </c>
      <c r="E2747" s="918">
        <v>41199</v>
      </c>
      <c r="F2747" s="921" t="s">
        <v>1121</v>
      </c>
      <c r="G2747" s="49" t="s">
        <v>1068</v>
      </c>
      <c r="H2747" s="909" t="s">
        <v>1705</v>
      </c>
      <c r="I2747" s="250">
        <v>490</v>
      </c>
      <c r="J2747" s="250">
        <v>7542.6469387755105</v>
      </c>
      <c r="K2747" s="51">
        <f t="shared" si="155"/>
        <v>3695897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customHeight="1">
      <c r="A2748" s="204" t="str">
        <f>IF(B2748&lt;&gt;"",IF(AND(B2748&gt;=_TM1,B2748&lt;=_TM2,OR(TH!L2748="1111",TH!M2748="1111")),TH!D2748,""),"")</f>
        <v/>
      </c>
      <c r="B2748" s="36">
        <f t="shared" si="154"/>
        <v>10</v>
      </c>
      <c r="C2748" s="48">
        <f t="shared" si="156"/>
        <v>41199</v>
      </c>
      <c r="D2748" s="48" t="s">
        <v>1737</v>
      </c>
      <c r="E2748" s="918">
        <v>41199</v>
      </c>
      <c r="F2748" s="49" t="s">
        <v>1069</v>
      </c>
      <c r="G2748" s="49" t="s">
        <v>435</v>
      </c>
      <c r="H2748" s="909" t="s">
        <v>1705</v>
      </c>
      <c r="I2748" s="250">
        <v>106</v>
      </c>
      <c r="J2748" s="250">
        <v>6344.9716981132078</v>
      </c>
      <c r="K2748" s="51">
        <f t="shared" si="155"/>
        <v>672567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customHeight="1">
      <c r="A2749" s="204" t="str">
        <f>IF(B2749&lt;&gt;"",IF(AND(B2749&gt;=_TM1,B2749&lt;=_TM2,OR(TH!L2749="1111",TH!M2749="1111")),TH!D2749,""),"")</f>
        <v/>
      </c>
      <c r="B2749" s="36">
        <f t="shared" si="154"/>
        <v>10</v>
      </c>
      <c r="C2749" s="48">
        <f t="shared" si="156"/>
        <v>41199</v>
      </c>
      <c r="D2749" s="48" t="s">
        <v>1737</v>
      </c>
      <c r="E2749" s="918">
        <v>41199</v>
      </c>
      <c r="F2749" s="49" t="s">
        <v>1070</v>
      </c>
      <c r="G2749" s="49" t="s">
        <v>435</v>
      </c>
      <c r="H2749" s="909" t="s">
        <v>1705</v>
      </c>
      <c r="I2749" s="250">
        <v>104</v>
      </c>
      <c r="J2749" s="250">
        <v>6561.4711538461543</v>
      </c>
      <c r="K2749" s="51">
        <f t="shared" si="155"/>
        <v>682393</v>
      </c>
      <c r="L2749" s="52" t="s">
        <v>177</v>
      </c>
      <c r="M2749" s="52" t="s">
        <v>175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customHeight="1">
      <c r="A2750" s="204" t="str">
        <f>IF(B2750&lt;&gt;"",IF(AND(B2750&gt;=_TM1,B2750&lt;=_TM2,OR(TH!L2750="1111",TH!M2750="1111")),TH!D2750,""),"")</f>
        <v/>
      </c>
      <c r="B2750" s="36">
        <f t="shared" si="154"/>
        <v>10</v>
      </c>
      <c r="C2750" s="48">
        <f t="shared" si="156"/>
        <v>41201</v>
      </c>
      <c r="D2750" s="48" t="s">
        <v>1737</v>
      </c>
      <c r="E2750" s="918">
        <v>41201</v>
      </c>
      <c r="F2750" s="49" t="s">
        <v>1139</v>
      </c>
      <c r="G2750" s="49" t="s">
        <v>1071</v>
      </c>
      <c r="H2750" s="909" t="s">
        <v>1705</v>
      </c>
      <c r="I2750" s="250">
        <v>515</v>
      </c>
      <c r="J2750" s="250">
        <v>15388.436893203883</v>
      </c>
      <c r="K2750" s="51">
        <f t="shared" si="155"/>
        <v>7925045</v>
      </c>
      <c r="L2750" s="52" t="s">
        <v>177</v>
      </c>
      <c r="M2750" s="52" t="s">
        <v>175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customHeight="1">
      <c r="A2751" s="204" t="str">
        <f>IF(B2751&lt;&gt;"",IF(AND(B2751&gt;=_TM1,B2751&lt;=_TM2,OR(TH!L2751="1111",TH!M2751="1111")),TH!D2751,""),"")</f>
        <v/>
      </c>
      <c r="B2751" s="36">
        <f t="shared" ref="B2751:B3300" si="157">IF(C2751&lt;&gt;"",MONTH(C2751),"")</f>
        <v>10</v>
      </c>
      <c r="C2751" s="48">
        <f t="shared" si="156"/>
        <v>41201</v>
      </c>
      <c r="D2751" s="48" t="s">
        <v>1737</v>
      </c>
      <c r="E2751" s="918">
        <v>41201</v>
      </c>
      <c r="F2751" s="49" t="s">
        <v>1138</v>
      </c>
      <c r="G2751" s="49" t="s">
        <v>1072</v>
      </c>
      <c r="H2751" s="909" t="s">
        <v>1705</v>
      </c>
      <c r="I2751" s="250">
        <v>1036</v>
      </c>
      <c r="J2751" s="250">
        <v>6561.4642857142853</v>
      </c>
      <c r="K2751" s="51">
        <f t="shared" si="155"/>
        <v>6797677</v>
      </c>
      <c r="L2751" s="52" t="s">
        <v>177</v>
      </c>
      <c r="M2751" s="52" t="s">
        <v>175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customHeight="1">
      <c r="A2752" s="204" t="str">
        <f>IF(B2752&lt;&gt;"",IF(AND(B2752&gt;=_TM1,B2752&lt;=_TM2,OR(TH!L2752="1111",TH!M2752="1111")),TH!D2752,""),"")</f>
        <v/>
      </c>
      <c r="B2752" s="36">
        <f t="shared" si="157"/>
        <v>10</v>
      </c>
      <c r="C2752" s="48">
        <f t="shared" si="156"/>
        <v>41205</v>
      </c>
      <c r="D2752" s="48" t="s">
        <v>1737</v>
      </c>
      <c r="E2752" s="918">
        <v>41205</v>
      </c>
      <c r="F2752" s="921" t="s">
        <v>1125</v>
      </c>
      <c r="G2752" s="49" t="s">
        <v>1073</v>
      </c>
      <c r="H2752" s="909" t="s">
        <v>1705</v>
      </c>
      <c r="I2752" s="250">
        <v>1020</v>
      </c>
      <c r="J2752" s="250">
        <v>8288.2343137254902</v>
      </c>
      <c r="K2752" s="51">
        <f t="shared" ref="K2752:K2799" si="158">ROUND(I2752*J2752,0)</f>
        <v>8453999</v>
      </c>
      <c r="L2752" s="52" t="s">
        <v>177</v>
      </c>
      <c r="M2752" s="52" t="s">
        <v>175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customHeight="1">
      <c r="A2753" s="204" t="str">
        <f>IF(B2753&lt;&gt;"",IF(AND(B2753&gt;=_TM1,B2753&lt;=_TM2,OR(TH!L2753="1111",TH!M2753="1111")),TH!D2753,""),"")</f>
        <v/>
      </c>
      <c r="B2753" s="36">
        <f t="shared" si="157"/>
        <v>10</v>
      </c>
      <c r="C2753" s="48">
        <f t="shared" si="156"/>
        <v>41205</v>
      </c>
      <c r="D2753" s="48" t="s">
        <v>1737</v>
      </c>
      <c r="E2753" s="918">
        <v>41205</v>
      </c>
      <c r="F2753" s="921" t="s">
        <v>1137</v>
      </c>
      <c r="G2753" s="49" t="s">
        <v>1074</v>
      </c>
      <c r="H2753" s="909" t="s">
        <v>1705</v>
      </c>
      <c r="I2753" s="250">
        <v>1350</v>
      </c>
      <c r="J2753" s="250">
        <v>5500.982962962963</v>
      </c>
      <c r="K2753" s="51">
        <f t="shared" si="158"/>
        <v>7426327</v>
      </c>
      <c r="L2753" s="52" t="s">
        <v>177</v>
      </c>
      <c r="M2753" s="52" t="s">
        <v>175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customHeight="1">
      <c r="A2754" s="204" t="str">
        <f>IF(B2754&lt;&gt;"",IF(AND(B2754&gt;=_TM1,B2754&lt;=_TM2,OR(TH!L2754="1111",TH!M2754="1111")),TH!D2754,""),"")</f>
        <v/>
      </c>
      <c r="B2754" s="36">
        <f t="shared" si="157"/>
        <v>10</v>
      </c>
      <c r="C2754" s="48">
        <f t="shared" si="156"/>
        <v>41205</v>
      </c>
      <c r="D2754" s="48" t="s">
        <v>1737</v>
      </c>
      <c r="E2754" s="918">
        <v>41205</v>
      </c>
      <c r="F2754" s="49" t="s">
        <v>1136</v>
      </c>
      <c r="G2754" s="49" t="s">
        <v>1074</v>
      </c>
      <c r="H2754" s="909" t="s">
        <v>1705</v>
      </c>
      <c r="I2754" s="250">
        <v>617</v>
      </c>
      <c r="J2754" s="250">
        <v>9013.6995077335814</v>
      </c>
      <c r="K2754" s="51">
        <f t="shared" si="158"/>
        <v>5561453</v>
      </c>
      <c r="L2754" s="52" t="s">
        <v>177</v>
      </c>
      <c r="M2754" s="52" t="s">
        <v>175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customHeight="1">
      <c r="A2755" s="204" t="str">
        <f>IF(B2755&lt;&gt;"",IF(AND(B2755&gt;=_TM1,B2755&lt;=_TM2,OR(TH!L2755="1111",TH!M2755="1111")),TH!D2755,""),"")</f>
        <v/>
      </c>
      <c r="B2755" s="36">
        <f t="shared" si="157"/>
        <v>10</v>
      </c>
      <c r="C2755" s="48">
        <f t="shared" si="156"/>
        <v>41205</v>
      </c>
      <c r="D2755" s="48" t="s">
        <v>1737</v>
      </c>
      <c r="E2755" s="918">
        <v>41205</v>
      </c>
      <c r="F2755" s="49" t="s">
        <v>1135</v>
      </c>
      <c r="G2755" s="49" t="s">
        <v>1074</v>
      </c>
      <c r="H2755" s="909" t="s">
        <v>1705</v>
      </c>
      <c r="I2755" s="250">
        <v>293</v>
      </c>
      <c r="J2755" s="250">
        <v>5300.5361719848033</v>
      </c>
      <c r="K2755" s="51">
        <f t="shared" si="158"/>
        <v>1553057</v>
      </c>
      <c r="L2755" s="52" t="s">
        <v>177</v>
      </c>
      <c r="M2755" s="52" t="s">
        <v>175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customHeight="1">
      <c r="A2756" s="204" t="str">
        <f>IF(B2756&lt;&gt;"",IF(AND(B2756&gt;=_TM1,B2756&lt;=_TM2,OR(TH!L2756="1111",TH!M2756="1111")),TH!D2756,""),"")</f>
        <v/>
      </c>
      <c r="B2756" s="36">
        <f t="shared" si="157"/>
        <v>10</v>
      </c>
      <c r="C2756" s="48">
        <f t="shared" ref="C2756:C2799" si="159">E2756</f>
        <v>41205</v>
      </c>
      <c r="D2756" s="48" t="s">
        <v>1737</v>
      </c>
      <c r="E2756" s="918">
        <v>41205</v>
      </c>
      <c r="F2756" s="49" t="s">
        <v>1117</v>
      </c>
      <c r="G2756" s="49" t="s">
        <v>1074</v>
      </c>
      <c r="H2756" s="909" t="s">
        <v>1705</v>
      </c>
      <c r="I2756" s="250">
        <v>500</v>
      </c>
      <c r="J2756" s="250">
        <v>9246.1204996298529</v>
      </c>
      <c r="K2756" s="51">
        <f t="shared" si="158"/>
        <v>4623060</v>
      </c>
      <c r="L2756" s="52" t="s">
        <v>177</v>
      </c>
      <c r="M2756" s="52" t="s">
        <v>175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customHeight="1">
      <c r="A2757" s="204" t="str">
        <f>IF(B2757&lt;&gt;"",IF(AND(B2757&gt;=_TM1,B2757&lt;=_TM2,OR(TH!L2757="1111",TH!M2757="1111")),TH!D2757,""),"")</f>
        <v/>
      </c>
      <c r="B2757" s="36">
        <f t="shared" si="157"/>
        <v>10</v>
      </c>
      <c r="C2757" s="48">
        <f t="shared" si="159"/>
        <v>41208</v>
      </c>
      <c r="D2757" s="48" t="s">
        <v>1737</v>
      </c>
      <c r="E2757" s="918">
        <v>41208</v>
      </c>
      <c r="F2757" s="49" t="s">
        <v>1117</v>
      </c>
      <c r="G2757" s="49" t="s">
        <v>1075</v>
      </c>
      <c r="H2757" s="909" t="s">
        <v>1705</v>
      </c>
      <c r="I2757" s="250">
        <v>98</v>
      </c>
      <c r="J2757" s="250">
        <v>9068.6073567727108</v>
      </c>
      <c r="K2757" s="51">
        <f t="shared" si="158"/>
        <v>888724</v>
      </c>
      <c r="L2757" s="52" t="s">
        <v>177</v>
      </c>
      <c r="M2757" s="52" t="s">
        <v>175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customHeight="1">
      <c r="A2758" s="204" t="str">
        <f>IF(B2758&lt;&gt;"",IF(AND(B2758&gt;=_TM1,B2758&lt;=_TM2,OR(TH!L2758="1111",TH!M2758="1111")),TH!D2758,""),"")</f>
        <v/>
      </c>
      <c r="B2758" s="36">
        <f t="shared" si="157"/>
        <v>10</v>
      </c>
      <c r="C2758" s="48">
        <f t="shared" si="159"/>
        <v>41208</v>
      </c>
      <c r="D2758" s="48" t="s">
        <v>1737</v>
      </c>
      <c r="E2758" s="918">
        <v>41208</v>
      </c>
      <c r="F2758" s="49" t="s">
        <v>1118</v>
      </c>
      <c r="G2758" s="49" t="s">
        <v>1075</v>
      </c>
      <c r="H2758" s="909" t="s">
        <v>1705</v>
      </c>
      <c r="I2758" s="250">
        <v>1272</v>
      </c>
      <c r="J2758" s="250">
        <v>5191.4361977430617</v>
      </c>
      <c r="K2758" s="51">
        <f t="shared" si="158"/>
        <v>6603507</v>
      </c>
      <c r="L2758" s="52" t="s">
        <v>177</v>
      </c>
      <c r="M2758" s="52" t="s">
        <v>175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customHeight="1">
      <c r="A2759" s="204" t="str">
        <f>IF(B2759&lt;&gt;"",IF(AND(B2759&gt;=_TM1,B2759&lt;=_TM2,OR(TH!L2759="1111",TH!M2759="1111")),TH!D2759,""),"")</f>
        <v/>
      </c>
      <c r="B2759" s="36">
        <f t="shared" si="157"/>
        <v>10</v>
      </c>
      <c r="C2759" s="48">
        <f t="shared" si="159"/>
        <v>41208</v>
      </c>
      <c r="D2759" s="48" t="s">
        <v>1737</v>
      </c>
      <c r="E2759" s="918">
        <v>41208</v>
      </c>
      <c r="F2759" s="49" t="s">
        <v>1134</v>
      </c>
      <c r="G2759" s="49" t="s">
        <v>1075</v>
      </c>
      <c r="H2759" s="909" t="s">
        <v>1705</v>
      </c>
      <c r="I2759" s="250">
        <v>640</v>
      </c>
      <c r="J2759" s="250">
        <v>6727.4644996298548</v>
      </c>
      <c r="K2759" s="51">
        <f t="shared" si="158"/>
        <v>4305577</v>
      </c>
      <c r="L2759" s="52" t="s">
        <v>177</v>
      </c>
      <c r="M2759" s="52" t="s">
        <v>175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customHeight="1">
      <c r="A2760" s="204" t="str">
        <f>IF(B2760&lt;&gt;"",IF(AND(B2760&gt;=_TM1,B2760&lt;=_TM2,OR(TH!L2760="1111",TH!M2760="1111")),TH!D2760,""),"")</f>
        <v/>
      </c>
      <c r="B2760" s="36">
        <f t="shared" si="157"/>
        <v>10</v>
      </c>
      <c r="C2760" s="48">
        <f t="shared" si="159"/>
        <v>41208</v>
      </c>
      <c r="D2760" s="48" t="s">
        <v>1737</v>
      </c>
      <c r="E2760" s="918">
        <v>41208</v>
      </c>
      <c r="F2760" s="49" t="s">
        <v>1133</v>
      </c>
      <c r="G2760" s="49" t="s">
        <v>1075</v>
      </c>
      <c r="H2760" s="909" t="s">
        <v>1705</v>
      </c>
      <c r="I2760" s="250">
        <v>606</v>
      </c>
      <c r="J2760" s="250">
        <v>8288.2334765275446</v>
      </c>
      <c r="K2760" s="51">
        <f t="shared" si="158"/>
        <v>5022669</v>
      </c>
      <c r="L2760" s="52" t="s">
        <v>177</v>
      </c>
      <c r="M2760" s="52" t="s">
        <v>175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customHeight="1">
      <c r="A2761" s="204" t="str">
        <f>IF(B2761&lt;&gt;"",IF(AND(B2761&gt;=_TM1,B2761&lt;=_TM2,OR(TH!L2761="1111",TH!M2761="1111")),TH!D2761,""),"")</f>
        <v/>
      </c>
      <c r="B2761" s="36">
        <f t="shared" si="157"/>
        <v>10</v>
      </c>
      <c r="C2761" s="48">
        <f t="shared" si="159"/>
        <v>41213</v>
      </c>
      <c r="D2761" s="48" t="s">
        <v>1737</v>
      </c>
      <c r="E2761" s="918">
        <v>41213</v>
      </c>
      <c r="F2761" s="921" t="s">
        <v>1121</v>
      </c>
      <c r="G2761" s="49" t="s">
        <v>1076</v>
      </c>
      <c r="H2761" s="909" t="s">
        <v>1705</v>
      </c>
      <c r="I2761" s="250">
        <v>998</v>
      </c>
      <c r="J2761" s="250">
        <v>7533.1358423152251</v>
      </c>
      <c r="K2761" s="51">
        <f t="shared" si="158"/>
        <v>7518070</v>
      </c>
      <c r="L2761" s="52" t="s">
        <v>177</v>
      </c>
      <c r="M2761" s="52" t="s">
        <v>175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customHeight="1">
      <c r="A2762" s="204" t="str">
        <f>IF(B2762&lt;&gt;"",IF(AND(B2762&gt;=_TM1,B2762&lt;=_TM2,OR(TH!L2762="1111",TH!M2762="1111")),TH!D2762,""),"")</f>
        <v/>
      </c>
      <c r="B2762" s="36">
        <f t="shared" si="157"/>
        <v>10</v>
      </c>
      <c r="C2762" s="48">
        <f t="shared" si="159"/>
        <v>41213</v>
      </c>
      <c r="D2762" s="48" t="s">
        <v>1737</v>
      </c>
      <c r="E2762" s="918">
        <v>41213</v>
      </c>
      <c r="F2762" s="49" t="s">
        <v>1132</v>
      </c>
      <c r="G2762" s="49" t="s">
        <v>1076</v>
      </c>
      <c r="H2762" s="909" t="s">
        <v>1705</v>
      </c>
      <c r="I2762" s="250">
        <v>200</v>
      </c>
      <c r="J2762" s="250">
        <v>10591.464499629854</v>
      </c>
      <c r="K2762" s="51">
        <f t="shared" si="158"/>
        <v>2118293</v>
      </c>
      <c r="L2762" s="52" t="s">
        <v>177</v>
      </c>
      <c r="M2762" s="52" t="s">
        <v>175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customHeight="1">
      <c r="A2763" s="204" t="str">
        <f>IF(B2763&lt;&gt;"",IF(AND(B2763&gt;=_TM1,B2763&lt;=_TM2,OR(TH!L2763="1111",TH!M2763="1111")),TH!D2763,""),"")</f>
        <v/>
      </c>
      <c r="B2763" s="36">
        <f t="shared" si="157"/>
        <v>10</v>
      </c>
      <c r="C2763" s="48">
        <f t="shared" si="159"/>
        <v>41213</v>
      </c>
      <c r="D2763" s="48" t="s">
        <v>1737</v>
      </c>
      <c r="E2763" s="918">
        <v>41213</v>
      </c>
      <c r="F2763" s="49" t="s">
        <v>1077</v>
      </c>
      <c r="G2763" s="49" t="s">
        <v>1078</v>
      </c>
      <c r="H2763" s="909" t="s">
        <v>1705</v>
      </c>
      <c r="I2763" s="250">
        <v>100</v>
      </c>
      <c r="J2763" s="250">
        <v>12104.464499629854</v>
      </c>
      <c r="K2763" s="51">
        <f t="shared" si="158"/>
        <v>1210446</v>
      </c>
      <c r="L2763" s="52" t="s">
        <v>177</v>
      </c>
      <c r="M2763" s="52" t="s">
        <v>175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customHeight="1">
      <c r="A2764" s="204" t="str">
        <f>IF(B2764&lt;&gt;"",IF(AND(B2764&gt;=_TM1,B2764&lt;=_TM2,OR(TH!L2764="1111",TH!M2764="1111")),TH!D2764,""),"")</f>
        <v/>
      </c>
      <c r="B2764" s="36">
        <f t="shared" si="157"/>
        <v>10</v>
      </c>
      <c r="C2764" s="48">
        <f t="shared" si="159"/>
        <v>41213</v>
      </c>
      <c r="D2764" s="48" t="s">
        <v>1737</v>
      </c>
      <c r="E2764" s="918">
        <v>41213</v>
      </c>
      <c r="F2764" s="49" t="s">
        <v>1080</v>
      </c>
      <c r="G2764" s="49" t="s">
        <v>1078</v>
      </c>
      <c r="H2764" s="909" t="s">
        <v>1705</v>
      </c>
      <c r="I2764" s="250">
        <v>100</v>
      </c>
      <c r="J2764" s="250">
        <v>12104.464499629854</v>
      </c>
      <c r="K2764" s="51">
        <f t="shared" si="158"/>
        <v>1210446</v>
      </c>
      <c r="L2764" s="52" t="s">
        <v>177</v>
      </c>
      <c r="M2764" s="52" t="s">
        <v>175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customHeight="1">
      <c r="A2765" s="204" t="str">
        <f>IF(B2765&lt;&gt;"",IF(AND(B2765&gt;=_TM1,B2765&lt;=_TM2,OR(TH!L2765="1111",TH!M2765="1111")),TH!D2765,""),"")</f>
        <v/>
      </c>
      <c r="B2765" s="36">
        <f t="shared" si="157"/>
        <v>10</v>
      </c>
      <c r="C2765" s="48">
        <f t="shared" si="159"/>
        <v>41213</v>
      </c>
      <c r="D2765" s="48" t="s">
        <v>1737</v>
      </c>
      <c r="E2765" s="918">
        <v>41213</v>
      </c>
      <c r="F2765" s="49" t="s">
        <v>1081</v>
      </c>
      <c r="G2765" s="49" t="s">
        <v>1078</v>
      </c>
      <c r="H2765" s="909" t="s">
        <v>1705</v>
      </c>
      <c r="I2765" s="250">
        <v>100</v>
      </c>
      <c r="J2765" s="250">
        <v>12104.464499629854</v>
      </c>
      <c r="K2765" s="51">
        <f t="shared" si="158"/>
        <v>1210446</v>
      </c>
      <c r="L2765" s="52" t="s">
        <v>177</v>
      </c>
      <c r="M2765" s="52" t="s">
        <v>175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customHeight="1">
      <c r="A2766" s="204" t="str">
        <f>IF(B2766&lt;&gt;"",IF(AND(B2766&gt;=_TM1,B2766&lt;=_TM2,OR(TH!L2766="1111",TH!M2766="1111")),TH!D2766,""),"")</f>
        <v/>
      </c>
      <c r="B2766" s="36">
        <f t="shared" si="157"/>
        <v>10</v>
      </c>
      <c r="C2766" s="48">
        <f t="shared" si="159"/>
        <v>41213</v>
      </c>
      <c r="D2766" s="48" t="s">
        <v>1737</v>
      </c>
      <c r="E2766" s="918">
        <v>41213</v>
      </c>
      <c r="F2766" s="49" t="s">
        <v>1082</v>
      </c>
      <c r="G2766" s="49" t="s">
        <v>1078</v>
      </c>
      <c r="H2766" s="909" t="s">
        <v>1705</v>
      </c>
      <c r="I2766" s="250">
        <v>200</v>
      </c>
      <c r="J2766" s="250">
        <v>12226.964499629854</v>
      </c>
      <c r="K2766" s="51">
        <f t="shared" si="158"/>
        <v>2445393</v>
      </c>
      <c r="L2766" s="52" t="s">
        <v>177</v>
      </c>
      <c r="M2766" s="52" t="s">
        <v>175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customHeight="1">
      <c r="A2767" s="204" t="str">
        <f>IF(B2767&lt;&gt;"",IF(AND(B2767&gt;=_TM1,B2767&lt;=_TM2,OR(TH!L2767="1111",TH!M2767="1111")),TH!D2767,""),"")</f>
        <v/>
      </c>
      <c r="B2767" s="36">
        <f t="shared" si="157"/>
        <v>10</v>
      </c>
      <c r="C2767" s="48">
        <f t="shared" si="159"/>
        <v>41213</v>
      </c>
      <c r="D2767" s="48" t="s">
        <v>1737</v>
      </c>
      <c r="E2767" s="918">
        <v>41213</v>
      </c>
      <c r="F2767" s="49" t="s">
        <v>1083</v>
      </c>
      <c r="G2767" s="49" t="s">
        <v>1078</v>
      </c>
      <c r="H2767" s="909" t="s">
        <v>1705</v>
      </c>
      <c r="I2767" s="250">
        <v>100</v>
      </c>
      <c r="J2767" s="250">
        <v>11936.464499629854</v>
      </c>
      <c r="K2767" s="51">
        <f t="shared" si="158"/>
        <v>1193646</v>
      </c>
      <c r="L2767" s="52" t="s">
        <v>177</v>
      </c>
      <c r="M2767" s="52" t="s">
        <v>175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customHeight="1">
      <c r="A2768" s="204" t="str">
        <f>IF(B2768&lt;&gt;"",IF(AND(B2768&gt;=_TM1,B2768&lt;=_TM2,OR(TH!L2768="1111",TH!M2768="1111")),TH!D2768,""),"")</f>
        <v/>
      </c>
      <c r="B2768" s="36">
        <f t="shared" si="157"/>
        <v>10</v>
      </c>
      <c r="C2768" s="48">
        <f t="shared" si="159"/>
        <v>41213</v>
      </c>
      <c r="D2768" s="48" t="s">
        <v>1737</v>
      </c>
      <c r="E2768" s="918">
        <v>41213</v>
      </c>
      <c r="F2768" s="49" t="s">
        <v>1084</v>
      </c>
      <c r="G2768" s="49" t="s">
        <v>1078</v>
      </c>
      <c r="H2768" s="909" t="s">
        <v>1705</v>
      </c>
      <c r="I2768" s="250">
        <v>200</v>
      </c>
      <c r="J2768" s="250">
        <v>12168.964499629854</v>
      </c>
      <c r="K2768" s="51">
        <f t="shared" si="158"/>
        <v>2433793</v>
      </c>
      <c r="L2768" s="52" t="s">
        <v>177</v>
      </c>
      <c r="M2768" s="52" t="s">
        <v>175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customHeight="1">
      <c r="A2769" s="204" t="str">
        <f>IF(B2769&lt;&gt;"",IF(AND(B2769&gt;=_TM1,B2769&lt;=_TM2,OR(TH!L2769="1111",TH!M2769="1111")),TH!D2769,""),"")</f>
        <v/>
      </c>
      <c r="B2769" s="36">
        <f t="shared" si="157"/>
        <v>11</v>
      </c>
      <c r="C2769" s="48">
        <f t="shared" si="159"/>
        <v>41226</v>
      </c>
      <c r="D2769" s="48" t="s">
        <v>1737</v>
      </c>
      <c r="E2769" s="918">
        <v>41226</v>
      </c>
      <c r="F2769" s="49" t="s">
        <v>1118</v>
      </c>
      <c r="G2769" s="49" t="s">
        <v>1085</v>
      </c>
      <c r="H2769" s="909" t="s">
        <v>1705</v>
      </c>
      <c r="I2769" s="250">
        <v>1619</v>
      </c>
      <c r="J2769" s="250">
        <v>5171.8375694260239</v>
      </c>
      <c r="K2769" s="51">
        <f t="shared" si="158"/>
        <v>8373205</v>
      </c>
      <c r="L2769" s="52" t="s">
        <v>177</v>
      </c>
      <c r="M2769" s="52" t="s">
        <v>175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customHeight="1">
      <c r="A2770" s="204" t="str">
        <f>IF(B2770&lt;&gt;"",IF(AND(B2770&gt;=_TM1,B2770&lt;=_TM2,OR(TH!L2770="1111",TH!M2770="1111")),TH!D2770,""),"")</f>
        <v/>
      </c>
      <c r="B2770" s="36">
        <f t="shared" si="157"/>
        <v>11</v>
      </c>
      <c r="C2770" s="48">
        <f t="shared" si="159"/>
        <v>41226</v>
      </c>
      <c r="D2770" s="48" t="s">
        <v>1737</v>
      </c>
      <c r="E2770" s="918">
        <v>41226</v>
      </c>
      <c r="F2770" s="49" t="s">
        <v>1131</v>
      </c>
      <c r="G2770" s="49" t="s">
        <v>1085</v>
      </c>
      <c r="H2770" s="909" t="s">
        <v>1705</v>
      </c>
      <c r="I2770" s="250">
        <v>608</v>
      </c>
      <c r="J2770" s="250">
        <v>12130.573052261432</v>
      </c>
      <c r="K2770" s="51">
        <f t="shared" si="158"/>
        <v>7375388</v>
      </c>
      <c r="L2770" s="52" t="s">
        <v>177</v>
      </c>
      <c r="M2770" s="52" t="s">
        <v>175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customHeight="1">
      <c r="A2771" s="204" t="str">
        <f>IF(B2771&lt;&gt;"",IF(AND(B2771&gt;=_TM1,B2771&lt;=_TM2,OR(TH!L2771="1111",TH!M2771="1111")),TH!D2771,""),"")</f>
        <v/>
      </c>
      <c r="B2771" s="36">
        <f t="shared" si="157"/>
        <v>11</v>
      </c>
      <c r="C2771" s="48">
        <f t="shared" si="159"/>
        <v>41226</v>
      </c>
      <c r="D2771" s="48" t="s">
        <v>1737</v>
      </c>
      <c r="E2771" s="918">
        <v>41226</v>
      </c>
      <c r="F2771" s="49" t="s">
        <v>1117</v>
      </c>
      <c r="G2771" s="49" t="s">
        <v>1085</v>
      </c>
      <c r="H2771" s="909" t="s">
        <v>1705</v>
      </c>
      <c r="I2771" s="250">
        <v>602</v>
      </c>
      <c r="J2771" s="250">
        <v>9175.371476374039</v>
      </c>
      <c r="K2771" s="51">
        <f t="shared" si="158"/>
        <v>5523574</v>
      </c>
      <c r="L2771" s="52" t="s">
        <v>177</v>
      </c>
      <c r="M2771" s="52" t="s">
        <v>175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customHeight="1">
      <c r="A2772" s="204" t="str">
        <f>IF(B2772&lt;&gt;"",IF(AND(B2772&gt;=_TM1,B2772&lt;=_TM2,OR(TH!L2772="1111",TH!M2772="1111")),TH!D2772,""),"")</f>
        <v/>
      </c>
      <c r="B2772" s="36">
        <f t="shared" si="157"/>
        <v>11</v>
      </c>
      <c r="C2772" s="48">
        <f t="shared" si="159"/>
        <v>41228</v>
      </c>
      <c r="D2772" s="48" t="s">
        <v>1737</v>
      </c>
      <c r="E2772" s="918">
        <v>41228</v>
      </c>
      <c r="F2772" s="921" t="s">
        <v>1121</v>
      </c>
      <c r="G2772" s="49" t="s">
        <v>1086</v>
      </c>
      <c r="H2772" s="909" t="s">
        <v>1705</v>
      </c>
      <c r="I2772" s="250">
        <v>506</v>
      </c>
      <c r="J2772" s="250">
        <v>7542.0534324361788</v>
      </c>
      <c r="K2772" s="51">
        <f t="shared" si="158"/>
        <v>3816279</v>
      </c>
      <c r="L2772" s="52" t="s">
        <v>177</v>
      </c>
      <c r="M2772" s="52" t="s">
        <v>175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customHeight="1">
      <c r="A2773" s="204" t="str">
        <f>IF(B2773&lt;&gt;"",IF(AND(B2773&gt;=_TM1,B2773&lt;=_TM2,OR(TH!L2773="1111",TH!M2773="1111")),TH!D2773,""),"")</f>
        <v/>
      </c>
      <c r="B2773" s="36">
        <f t="shared" si="157"/>
        <v>11</v>
      </c>
      <c r="C2773" s="48">
        <f t="shared" si="159"/>
        <v>41228</v>
      </c>
      <c r="D2773" s="48" t="s">
        <v>1737</v>
      </c>
      <c r="E2773" s="918">
        <v>41228</v>
      </c>
      <c r="F2773" s="49" t="s">
        <v>1130</v>
      </c>
      <c r="G2773" s="49" t="s">
        <v>1086</v>
      </c>
      <c r="H2773" s="909" t="s">
        <v>1705</v>
      </c>
      <c r="I2773" s="250">
        <v>105</v>
      </c>
      <c r="J2773" s="250">
        <v>3303.3883091536632</v>
      </c>
      <c r="K2773" s="51">
        <f t="shared" si="158"/>
        <v>346856</v>
      </c>
      <c r="L2773" s="52" t="s">
        <v>177</v>
      </c>
      <c r="M2773" s="52" t="s">
        <v>175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customHeight="1">
      <c r="A2774" s="204" t="str">
        <f>IF(B2774&lt;&gt;"",IF(AND(B2774&gt;=_TM1,B2774&lt;=_TM2,OR(TH!L2774="1111",TH!M2774="1111")),TH!D2774,""),"")</f>
        <v/>
      </c>
      <c r="B2774" s="36">
        <f t="shared" si="157"/>
        <v>11</v>
      </c>
      <c r="C2774" s="48">
        <f t="shared" si="159"/>
        <v>41228</v>
      </c>
      <c r="D2774" s="48" t="s">
        <v>1737</v>
      </c>
      <c r="E2774" s="918">
        <v>41228</v>
      </c>
      <c r="F2774" s="49" t="s">
        <v>1114</v>
      </c>
      <c r="G2774" s="49" t="s">
        <v>1087</v>
      </c>
      <c r="H2774" s="909" t="s">
        <v>1705</v>
      </c>
      <c r="I2774" s="250">
        <v>1005</v>
      </c>
      <c r="J2774" s="250">
        <v>12946.904300624878</v>
      </c>
      <c r="K2774" s="51">
        <f t="shared" si="158"/>
        <v>13011639</v>
      </c>
      <c r="L2774" s="52" t="s">
        <v>177</v>
      </c>
      <c r="M2774" s="52" t="s">
        <v>175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customHeight="1">
      <c r="A2775" s="204" t="str">
        <f>IF(B2775&lt;&gt;"",IF(AND(B2775&gt;=_TM1,B2775&lt;=_TM2,OR(TH!L2775="1111",TH!M2775="1111")),TH!D2775,""),"")</f>
        <v/>
      </c>
      <c r="B2775" s="36">
        <f t="shared" si="157"/>
        <v>11</v>
      </c>
      <c r="C2775" s="48">
        <f t="shared" si="159"/>
        <v>41235</v>
      </c>
      <c r="D2775" s="48" t="s">
        <v>1737</v>
      </c>
      <c r="E2775" s="918">
        <v>41235</v>
      </c>
      <c r="F2775" s="49" t="s">
        <v>1129</v>
      </c>
      <c r="G2775" s="49" t="s">
        <v>1088</v>
      </c>
      <c r="H2775" s="909" t="s">
        <v>1705</v>
      </c>
      <c r="I2775" s="250">
        <v>220</v>
      </c>
      <c r="J2775" s="250">
        <v>10591.464499629852</v>
      </c>
      <c r="K2775" s="51">
        <f t="shared" si="158"/>
        <v>2330122</v>
      </c>
      <c r="L2775" s="52" t="s">
        <v>177</v>
      </c>
      <c r="M2775" s="52" t="s">
        <v>175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customHeight="1">
      <c r="A2776" s="204" t="str">
        <f>IF(B2776&lt;&gt;"",IF(AND(B2776&gt;=_TM1,B2776&lt;=_TM2,OR(TH!L2776="1111",TH!M2776="1111")),TH!D2776,""),"")</f>
        <v/>
      </c>
      <c r="B2776" s="36">
        <f t="shared" si="157"/>
        <v>11</v>
      </c>
      <c r="C2776" s="48">
        <f t="shared" si="159"/>
        <v>41235</v>
      </c>
      <c r="D2776" s="48" t="s">
        <v>1737</v>
      </c>
      <c r="E2776" s="918">
        <v>41235</v>
      </c>
      <c r="F2776" s="49" t="s">
        <v>1128</v>
      </c>
      <c r="G2776" s="49" t="s">
        <v>1088</v>
      </c>
      <c r="H2776" s="909" t="s">
        <v>1705</v>
      </c>
      <c r="I2776" s="250">
        <v>258</v>
      </c>
      <c r="J2776" s="250">
        <v>12730.410236063963</v>
      </c>
      <c r="K2776" s="51">
        <f t="shared" si="158"/>
        <v>3284446</v>
      </c>
      <c r="L2776" s="52" t="s">
        <v>177</v>
      </c>
      <c r="M2776" s="52" t="s">
        <v>175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customHeight="1">
      <c r="A2777" s="204" t="str">
        <f>IF(B2777&lt;&gt;"",IF(AND(B2777&gt;=_TM1,B2777&lt;=_TM2,OR(TH!L2777="1111",TH!M2777="1111")),TH!D2777,""),"")</f>
        <v/>
      </c>
      <c r="B2777" s="36">
        <f t="shared" si="157"/>
        <v>11</v>
      </c>
      <c r="C2777" s="48">
        <f t="shared" si="159"/>
        <v>41235</v>
      </c>
      <c r="D2777" s="48" t="s">
        <v>1737</v>
      </c>
      <c r="E2777" s="918">
        <v>41235</v>
      </c>
      <c r="F2777" s="49" t="s">
        <v>1127</v>
      </c>
      <c r="G2777" s="49" t="s">
        <v>1088</v>
      </c>
      <c r="H2777" s="909" t="s">
        <v>1705</v>
      </c>
      <c r="I2777" s="250">
        <v>295</v>
      </c>
      <c r="J2777" s="250">
        <v>10912.718736917992</v>
      </c>
      <c r="K2777" s="51">
        <f t="shared" si="158"/>
        <v>3219252</v>
      </c>
      <c r="L2777" s="52" t="s">
        <v>177</v>
      </c>
      <c r="M2777" s="52" t="s">
        <v>175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customHeight="1">
      <c r="A2778" s="204" t="str">
        <f>IF(B2778&lt;&gt;"",IF(AND(B2778&gt;=_TM1,B2778&lt;=_TM2,OR(TH!L2778="1111",TH!M2778="1111")),TH!D2778,""),"")</f>
        <v/>
      </c>
      <c r="B2778" s="36">
        <f t="shared" si="157"/>
        <v>11</v>
      </c>
      <c r="C2778" s="48">
        <f t="shared" si="159"/>
        <v>41235</v>
      </c>
      <c r="D2778" s="48" t="s">
        <v>1737</v>
      </c>
      <c r="E2778" s="918">
        <v>41235</v>
      </c>
      <c r="F2778" s="49" t="s">
        <v>1126</v>
      </c>
      <c r="G2778" s="49" t="s">
        <v>1088</v>
      </c>
      <c r="H2778" s="909" t="s">
        <v>1705</v>
      </c>
      <c r="I2778" s="250">
        <v>297</v>
      </c>
      <c r="J2778" s="250">
        <v>11674.73722690258</v>
      </c>
      <c r="K2778" s="51">
        <f t="shared" si="158"/>
        <v>3467397</v>
      </c>
      <c r="L2778" s="52" t="s">
        <v>177</v>
      </c>
      <c r="M2778" s="52" t="s">
        <v>175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customHeight="1">
      <c r="A2779" s="204" t="str">
        <f>IF(B2779&lt;&gt;"",IF(AND(B2779&gt;=_TM1,B2779&lt;=_TM2,OR(TH!L2779="1111",TH!M2779="1111")),TH!D2779,""),"")</f>
        <v/>
      </c>
      <c r="B2779" s="36">
        <f t="shared" si="157"/>
        <v>12</v>
      </c>
      <c r="C2779" s="48">
        <f t="shared" si="159"/>
        <v>41244</v>
      </c>
      <c r="D2779" s="48" t="s">
        <v>1737</v>
      </c>
      <c r="E2779" s="918">
        <v>41244</v>
      </c>
      <c r="F2779" s="49" t="s">
        <v>1125</v>
      </c>
      <c r="G2779" s="49" t="s">
        <v>1089</v>
      </c>
      <c r="H2779" s="909" t="s">
        <v>1705</v>
      </c>
      <c r="I2779" s="250">
        <v>1050</v>
      </c>
      <c r="J2779" s="250">
        <v>8288.234023439376</v>
      </c>
      <c r="K2779" s="51">
        <f t="shared" si="158"/>
        <v>8702646</v>
      </c>
      <c r="L2779" s="52" t="s">
        <v>177</v>
      </c>
      <c r="M2779" s="52" t="s">
        <v>175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customHeight="1">
      <c r="A2780" s="204" t="str">
        <f>IF(B2780&lt;&gt;"",IF(AND(B2780&gt;=_TM1,B2780&lt;=_TM2,OR(TH!L2780="1111",TH!M2780="1111")),TH!D2780,""),"")</f>
        <v/>
      </c>
      <c r="B2780" s="36">
        <f t="shared" si="157"/>
        <v>12</v>
      </c>
      <c r="C2780" s="48">
        <f t="shared" si="159"/>
        <v>41253</v>
      </c>
      <c r="D2780" s="48" t="s">
        <v>1737</v>
      </c>
      <c r="E2780" s="918">
        <v>41253</v>
      </c>
      <c r="F2780" s="49" t="s">
        <v>1124</v>
      </c>
      <c r="G2780" s="49" t="s">
        <v>1090</v>
      </c>
      <c r="H2780" s="909" t="s">
        <v>1705</v>
      </c>
      <c r="I2780" s="250">
        <v>500</v>
      </c>
      <c r="J2780" s="250">
        <v>8984.3464996298535</v>
      </c>
      <c r="K2780" s="51">
        <f t="shared" si="158"/>
        <v>4492173</v>
      </c>
      <c r="L2780" s="52" t="s">
        <v>177</v>
      </c>
      <c r="M2780" s="52" t="s">
        <v>175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customHeight="1">
      <c r="A2781" s="204" t="str">
        <f>IF(B2781&lt;&gt;"",IF(AND(B2781&gt;=_TM1,B2781&lt;=_TM2,OR(TH!L2781="1111",TH!M2781="1111")),TH!D2781,""),"")</f>
        <v/>
      </c>
      <c r="B2781" s="36">
        <f t="shared" si="157"/>
        <v>12</v>
      </c>
      <c r="C2781" s="48">
        <f t="shared" si="159"/>
        <v>41253</v>
      </c>
      <c r="D2781" s="48" t="s">
        <v>1737</v>
      </c>
      <c r="E2781" s="918">
        <v>41253</v>
      </c>
      <c r="F2781" s="49" t="s">
        <v>1123</v>
      </c>
      <c r="G2781" s="49" t="s">
        <v>1090</v>
      </c>
      <c r="H2781" s="909" t="s">
        <v>1705</v>
      </c>
      <c r="I2781" s="250">
        <v>483</v>
      </c>
      <c r="J2781" s="250">
        <v>8867.9613940397921</v>
      </c>
      <c r="K2781" s="51">
        <f t="shared" si="158"/>
        <v>4283225</v>
      </c>
      <c r="L2781" s="52" t="s">
        <v>177</v>
      </c>
      <c r="M2781" s="52" t="s">
        <v>175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customHeight="1">
      <c r="A2782" s="204" t="str">
        <f>IF(B2782&lt;&gt;"",IF(AND(B2782&gt;=_TM1,B2782&lt;=_TM2,OR(TH!L2782="1111",TH!M2782="1111")),TH!D2782,""),"")</f>
        <v/>
      </c>
      <c r="B2782" s="36">
        <f t="shared" si="157"/>
        <v>12</v>
      </c>
      <c r="C2782" s="48">
        <f t="shared" si="159"/>
        <v>41253</v>
      </c>
      <c r="D2782" s="48" t="s">
        <v>1737</v>
      </c>
      <c r="E2782" s="918">
        <v>41253</v>
      </c>
      <c r="F2782" s="49" t="s">
        <v>1122</v>
      </c>
      <c r="G2782" s="49" t="s">
        <v>1090</v>
      </c>
      <c r="H2782" s="909" t="s">
        <v>1705</v>
      </c>
      <c r="I2782" s="250">
        <v>504</v>
      </c>
      <c r="J2782" s="250">
        <v>7664.9644996298539</v>
      </c>
      <c r="K2782" s="51">
        <f t="shared" si="158"/>
        <v>3863142</v>
      </c>
      <c r="L2782" s="52" t="s">
        <v>177</v>
      </c>
      <c r="M2782" s="52" t="s">
        <v>175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customHeight="1">
      <c r="A2783" s="204" t="str">
        <f>IF(B2783&lt;&gt;"",IF(AND(B2783&gt;=_TM1,B2783&lt;=_TM2,OR(TH!L2783="1111",TH!M2783="1111")),TH!D2783,""),"")</f>
        <v/>
      </c>
      <c r="B2783" s="36">
        <f t="shared" si="157"/>
        <v>12</v>
      </c>
      <c r="C2783" s="48">
        <f t="shared" si="159"/>
        <v>41262</v>
      </c>
      <c r="D2783" s="48" t="s">
        <v>1737</v>
      </c>
      <c r="E2783" s="918">
        <v>41262</v>
      </c>
      <c r="F2783" s="921" t="s">
        <v>1121</v>
      </c>
      <c r="G2783" s="49" t="s">
        <v>1092</v>
      </c>
      <c r="H2783" s="909" t="s">
        <v>1705</v>
      </c>
      <c r="I2783" s="250">
        <v>530</v>
      </c>
      <c r="J2783" s="250">
        <v>7541.2343109506082</v>
      </c>
      <c r="K2783" s="51">
        <f t="shared" si="158"/>
        <v>3996854</v>
      </c>
      <c r="L2783" s="52" t="s">
        <v>177</v>
      </c>
      <c r="M2783" s="52" t="s">
        <v>175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customHeight="1">
      <c r="A2784" s="204" t="str">
        <f>IF(B2784&lt;&gt;"",IF(AND(B2784&gt;=_TM1,B2784&lt;=_TM2,OR(TH!L2784="1111",TH!M2784="1111")),TH!D2784,""),"")</f>
        <v/>
      </c>
      <c r="B2784" s="36">
        <f t="shared" si="157"/>
        <v>12</v>
      </c>
      <c r="C2784" s="48">
        <f t="shared" si="159"/>
        <v>41262</v>
      </c>
      <c r="D2784" s="48" t="s">
        <v>1737</v>
      </c>
      <c r="E2784" s="918">
        <v>41262</v>
      </c>
      <c r="F2784" s="49" t="s">
        <v>1093</v>
      </c>
      <c r="G2784" s="49" t="s">
        <v>1094</v>
      </c>
      <c r="H2784" s="909" t="s">
        <v>1705</v>
      </c>
      <c r="I2784" s="250">
        <v>664</v>
      </c>
      <c r="J2784" s="250">
        <v>6727.4644996298548</v>
      </c>
      <c r="K2784" s="51">
        <f t="shared" si="158"/>
        <v>4467036</v>
      </c>
      <c r="L2784" s="52" t="s">
        <v>177</v>
      </c>
      <c r="M2784" s="52" t="s">
        <v>175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customHeight="1">
      <c r="A2785" s="204" t="str">
        <f>IF(B2785&lt;&gt;"",IF(AND(B2785&gt;=_TM1,B2785&lt;=_TM2,OR(TH!L2785="1111",TH!M2785="1111")),TH!D2785,""),"")</f>
        <v/>
      </c>
      <c r="B2785" s="36">
        <f t="shared" si="157"/>
        <v>12</v>
      </c>
      <c r="C2785" s="48">
        <f t="shared" si="159"/>
        <v>41262</v>
      </c>
      <c r="D2785" s="48" t="s">
        <v>1737</v>
      </c>
      <c r="E2785" s="918">
        <v>41262</v>
      </c>
      <c r="F2785" s="49" t="s">
        <v>1095</v>
      </c>
      <c r="G2785" s="49" t="s">
        <v>1094</v>
      </c>
      <c r="H2785" s="909" t="s">
        <v>1705</v>
      </c>
      <c r="I2785" s="250">
        <v>56</v>
      </c>
      <c r="J2785" s="250">
        <v>6727.4644996298539</v>
      </c>
      <c r="K2785" s="51">
        <f t="shared" si="158"/>
        <v>376738</v>
      </c>
      <c r="L2785" s="52" t="s">
        <v>177</v>
      </c>
      <c r="M2785" s="52" t="s">
        <v>175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customHeight="1">
      <c r="A2786" s="204" t="str">
        <f>IF(B2786&lt;&gt;"",IF(AND(B2786&gt;=_TM1,B2786&lt;=_TM2,OR(TH!L2786="1111",TH!M2786="1111")),TH!D2786,""),"")</f>
        <v/>
      </c>
      <c r="B2786" s="36">
        <f t="shared" si="157"/>
        <v>12</v>
      </c>
      <c r="C2786" s="48">
        <f t="shared" si="159"/>
        <v>41262</v>
      </c>
      <c r="D2786" s="48" t="s">
        <v>1737</v>
      </c>
      <c r="E2786" s="918">
        <v>41262</v>
      </c>
      <c r="F2786" s="49" t="s">
        <v>1178</v>
      </c>
      <c r="G2786" s="49" t="s">
        <v>1094</v>
      </c>
      <c r="H2786" s="909" t="s">
        <v>1705</v>
      </c>
      <c r="I2786" s="250">
        <v>93</v>
      </c>
      <c r="J2786" s="250">
        <v>7459.0774028556598</v>
      </c>
      <c r="K2786" s="51">
        <f t="shared" si="158"/>
        <v>693694</v>
      </c>
      <c r="L2786" s="52" t="s">
        <v>177</v>
      </c>
      <c r="M2786" s="52" t="s">
        <v>175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customHeight="1">
      <c r="A2787" s="204" t="str">
        <f>IF(B2787&lt;&gt;"",IF(AND(B2787&gt;=_TM1,B2787&lt;=_TM2,OR(TH!L2787="1111",TH!M2787="1111")),TH!D2787,""),"")</f>
        <v/>
      </c>
      <c r="B2787" s="36">
        <f t="shared" si="157"/>
        <v>12</v>
      </c>
      <c r="C2787" s="48">
        <f t="shared" si="159"/>
        <v>41262</v>
      </c>
      <c r="D2787" s="48" t="s">
        <v>1737</v>
      </c>
      <c r="E2787" s="918">
        <v>41262</v>
      </c>
      <c r="F2787" s="49" t="s">
        <v>1120</v>
      </c>
      <c r="G2787" s="49" t="s">
        <v>1094</v>
      </c>
      <c r="H2787" s="909" t="s">
        <v>1705</v>
      </c>
      <c r="I2787" s="250">
        <v>126</v>
      </c>
      <c r="J2787" s="250">
        <v>8737.9406901060429</v>
      </c>
      <c r="K2787" s="51">
        <f t="shared" si="158"/>
        <v>1100981</v>
      </c>
      <c r="L2787" s="52" t="s">
        <v>177</v>
      </c>
      <c r="M2787" s="52" t="s">
        <v>175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customHeight="1">
      <c r="A2788" s="204" t="str">
        <f>IF(B2788&lt;&gt;"",IF(AND(B2788&gt;=_TM1,B2788&lt;=_TM2,OR(TH!L2788="1111",TH!M2788="1111")),TH!D2788,""),"")</f>
        <v/>
      </c>
      <c r="B2788" s="36">
        <f t="shared" si="157"/>
        <v>12</v>
      </c>
      <c r="C2788" s="48">
        <f t="shared" si="159"/>
        <v>41263</v>
      </c>
      <c r="D2788" s="48" t="s">
        <v>1737</v>
      </c>
      <c r="E2788" s="918">
        <v>41263</v>
      </c>
      <c r="F2788" s="49" t="s">
        <v>1119</v>
      </c>
      <c r="G2788" s="49" t="s">
        <v>1096</v>
      </c>
      <c r="H2788" s="909" t="s">
        <v>1705</v>
      </c>
      <c r="I2788" s="250">
        <v>219</v>
      </c>
      <c r="J2788" s="250">
        <v>6344.9667827348758</v>
      </c>
      <c r="K2788" s="51">
        <f t="shared" si="158"/>
        <v>1389548</v>
      </c>
      <c r="L2788" s="52" t="s">
        <v>177</v>
      </c>
      <c r="M2788" s="52" t="s">
        <v>175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customHeight="1">
      <c r="A2789" s="204" t="str">
        <f>IF(B2789&lt;&gt;"",IF(AND(B2789&gt;=_TM1,B2789&lt;=_TM2,OR(TH!L2789="1111",TH!M2789="1111")),TH!D2789,""),"")</f>
        <v/>
      </c>
      <c r="B2789" s="36">
        <f t="shared" si="157"/>
        <v>12</v>
      </c>
      <c r="C2789" s="48">
        <f t="shared" si="159"/>
        <v>41263</v>
      </c>
      <c r="D2789" s="48" t="s">
        <v>1737</v>
      </c>
      <c r="E2789" s="918">
        <v>41263</v>
      </c>
      <c r="F2789" s="49" t="s">
        <v>1070</v>
      </c>
      <c r="G2789" s="49" t="s">
        <v>1096</v>
      </c>
      <c r="H2789" s="909" t="s">
        <v>1705</v>
      </c>
      <c r="I2789" s="250">
        <v>100</v>
      </c>
      <c r="J2789" s="250">
        <v>6561.4644996298539</v>
      </c>
      <c r="K2789" s="51">
        <f t="shared" si="158"/>
        <v>656146</v>
      </c>
      <c r="L2789" s="52" t="s">
        <v>177</v>
      </c>
      <c r="M2789" s="52" t="s">
        <v>175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customHeight="1">
      <c r="A2790" s="204" t="str">
        <f>IF(B2790&lt;&gt;"",IF(AND(B2790&gt;=_TM1,B2790&lt;=_TM2,OR(TH!L2790="1111",TH!M2790="1111")),TH!D2790,""),"")</f>
        <v/>
      </c>
      <c r="B2790" s="36">
        <f t="shared" si="157"/>
        <v>12</v>
      </c>
      <c r="C2790" s="48">
        <f t="shared" si="159"/>
        <v>41263</v>
      </c>
      <c r="D2790" s="48" t="s">
        <v>1737</v>
      </c>
      <c r="E2790" s="918">
        <v>41263</v>
      </c>
      <c r="F2790" s="49" t="s">
        <v>1069</v>
      </c>
      <c r="G2790" s="49" t="s">
        <v>1096</v>
      </c>
      <c r="H2790" s="909" t="s">
        <v>1705</v>
      </c>
      <c r="I2790" s="250">
        <v>104</v>
      </c>
      <c r="J2790" s="250">
        <v>6344.9644996298548</v>
      </c>
      <c r="K2790" s="51">
        <f t="shared" si="158"/>
        <v>659876</v>
      </c>
      <c r="L2790" s="52" t="s">
        <v>177</v>
      </c>
      <c r="M2790" s="52" t="s">
        <v>175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customHeight="1">
      <c r="A2791" s="204" t="str">
        <f>IF(B2791&lt;&gt;"",IF(AND(B2791&gt;=_TM1,B2791&lt;=_TM2,OR(TH!L2791="1111",TH!M2791="1111")),TH!D2791,""),"")</f>
        <v/>
      </c>
      <c r="B2791" s="36">
        <f t="shared" si="157"/>
        <v>12</v>
      </c>
      <c r="C2791" s="48">
        <f t="shared" si="159"/>
        <v>41263</v>
      </c>
      <c r="D2791" s="48" t="s">
        <v>1737</v>
      </c>
      <c r="E2791" s="918">
        <v>41263</v>
      </c>
      <c r="F2791" s="49" t="s">
        <v>1178</v>
      </c>
      <c r="G2791" s="49" t="s">
        <v>1096</v>
      </c>
      <c r="H2791" s="909" t="s">
        <v>1705</v>
      </c>
      <c r="I2791" s="250">
        <v>116</v>
      </c>
      <c r="J2791" s="250">
        <v>6561.464499629853</v>
      </c>
      <c r="K2791" s="51">
        <f t="shared" si="158"/>
        <v>761130</v>
      </c>
      <c r="L2791" s="52" t="s">
        <v>177</v>
      </c>
      <c r="M2791" s="52" t="s">
        <v>175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customHeight="1">
      <c r="A2792" s="204" t="str">
        <f>IF(B2792&lt;&gt;"",IF(AND(B2792&gt;=_TM1,B2792&lt;=_TM2,OR(TH!L2792="1111",TH!M2792="1111")),TH!D2792,""),"")</f>
        <v/>
      </c>
      <c r="B2792" s="36">
        <f t="shared" si="157"/>
        <v>12</v>
      </c>
      <c r="C2792" s="48">
        <f t="shared" si="159"/>
        <v>41263</v>
      </c>
      <c r="D2792" s="48" t="s">
        <v>1737</v>
      </c>
      <c r="E2792" s="918">
        <v>41263</v>
      </c>
      <c r="F2792" s="49" t="s">
        <v>1097</v>
      </c>
      <c r="G2792" s="49" t="s">
        <v>1096</v>
      </c>
      <c r="H2792" s="909" t="s">
        <v>1705</v>
      </c>
      <c r="I2792" s="250">
        <v>200</v>
      </c>
      <c r="J2792" s="250">
        <v>8588.8644996298535</v>
      </c>
      <c r="K2792" s="51">
        <f t="shared" si="158"/>
        <v>1717773</v>
      </c>
      <c r="L2792" s="52" t="s">
        <v>177</v>
      </c>
      <c r="M2792" s="52" t="s">
        <v>175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customHeight="1">
      <c r="A2793" s="204" t="str">
        <f>IF(B2793&lt;&gt;"",IF(AND(B2793&gt;=_TM1,B2793&lt;=_TM2,OR(TH!L2793="1111",TH!M2793="1111")),TH!D2793,""),"")</f>
        <v/>
      </c>
      <c r="B2793" s="36">
        <f t="shared" si="157"/>
        <v>12</v>
      </c>
      <c r="C2793" s="48">
        <f t="shared" si="159"/>
        <v>41265</v>
      </c>
      <c r="D2793" s="48" t="s">
        <v>1737</v>
      </c>
      <c r="E2793" s="918">
        <v>41265</v>
      </c>
      <c r="F2793" s="49" t="s">
        <v>1098</v>
      </c>
      <c r="G2793" s="49" t="s">
        <v>1099</v>
      </c>
      <c r="H2793" s="909" t="s">
        <v>1705</v>
      </c>
      <c r="I2793" s="250">
        <v>200</v>
      </c>
      <c r="J2793" s="250">
        <v>12226.964499629854</v>
      </c>
      <c r="K2793" s="51">
        <f t="shared" si="158"/>
        <v>2445393</v>
      </c>
      <c r="L2793" s="52" t="s">
        <v>177</v>
      </c>
      <c r="M2793" s="52" t="s">
        <v>175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customHeight="1">
      <c r="A2794" s="204" t="str">
        <f>IF(B2794&lt;&gt;"",IF(AND(B2794&gt;=_TM1,B2794&lt;=_TM2,OR(TH!L2794="1111",TH!M2794="1111")),TH!D2794,""),"")</f>
        <v/>
      </c>
      <c r="B2794" s="36">
        <f t="shared" si="157"/>
        <v>12</v>
      </c>
      <c r="C2794" s="48">
        <f t="shared" si="159"/>
        <v>41265</v>
      </c>
      <c r="D2794" s="48" t="s">
        <v>1737</v>
      </c>
      <c r="E2794" s="918">
        <v>41265</v>
      </c>
      <c r="F2794" s="49" t="s">
        <v>1118</v>
      </c>
      <c r="G2794" s="49" t="s">
        <v>1100</v>
      </c>
      <c r="H2794" s="909" t="s">
        <v>1705</v>
      </c>
      <c r="I2794" s="250">
        <v>1618</v>
      </c>
      <c r="J2794" s="250">
        <v>5173.2123364654526</v>
      </c>
      <c r="K2794" s="51">
        <f t="shared" si="158"/>
        <v>8370258</v>
      </c>
      <c r="L2794" s="52" t="s">
        <v>177</v>
      </c>
      <c r="M2794" s="52" t="s">
        <v>175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customHeight="1">
      <c r="A2795" s="204" t="str">
        <f>IF(B2795&lt;&gt;"",IF(AND(B2795&gt;=_TM1,B2795&lt;=_TM2,OR(TH!L2795="1111",TH!M2795="1111")),TH!D2795,""),"")</f>
        <v/>
      </c>
      <c r="B2795" s="36">
        <f t="shared" si="157"/>
        <v>12</v>
      </c>
      <c r="C2795" s="48">
        <f t="shared" si="159"/>
        <v>41265</v>
      </c>
      <c r="D2795" s="48" t="s">
        <v>1737</v>
      </c>
      <c r="E2795" s="918">
        <v>41265</v>
      </c>
      <c r="F2795" s="49" t="s">
        <v>1117</v>
      </c>
      <c r="G2795" s="49" t="s">
        <v>1100</v>
      </c>
      <c r="H2795" s="909" t="s">
        <v>1705</v>
      </c>
      <c r="I2795" s="250">
        <v>302</v>
      </c>
      <c r="J2795" s="250">
        <v>9154.7525791000535</v>
      </c>
      <c r="K2795" s="51">
        <f t="shared" si="158"/>
        <v>2764735</v>
      </c>
      <c r="L2795" s="52" t="s">
        <v>177</v>
      </c>
      <c r="M2795" s="52" t="s">
        <v>175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customHeight="1">
      <c r="A2796" s="204" t="str">
        <f>IF(B2796&lt;&gt;"",IF(AND(B2796&gt;=_TM1,B2796&lt;=_TM2,OR(TH!L2796="1111",TH!M2796="1111")),TH!D2796,""),"")</f>
        <v/>
      </c>
      <c r="B2796" s="36">
        <f t="shared" si="157"/>
        <v>12</v>
      </c>
      <c r="C2796" s="48">
        <f t="shared" si="159"/>
        <v>41272</v>
      </c>
      <c r="D2796" s="48" t="s">
        <v>1737</v>
      </c>
      <c r="E2796" s="918">
        <v>41272</v>
      </c>
      <c r="F2796" s="49" t="s">
        <v>1115</v>
      </c>
      <c r="G2796" s="49" t="s">
        <v>1101</v>
      </c>
      <c r="H2796" s="909" t="s">
        <v>1705</v>
      </c>
      <c r="I2796" s="250">
        <v>97</v>
      </c>
      <c r="J2796" s="250">
        <v>19586.650066640163</v>
      </c>
      <c r="K2796" s="51">
        <f t="shared" si="158"/>
        <v>1899905</v>
      </c>
      <c r="L2796" s="52" t="s">
        <v>177</v>
      </c>
      <c r="M2796" s="52" t="s">
        <v>175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customHeight="1">
      <c r="A2797" s="204" t="str">
        <f>IF(B2797&lt;&gt;"",IF(AND(B2797&gt;=_TM1,B2797&lt;=_TM2,OR(TH!L2797="1111",TH!M2797="1111")),TH!D2797,""),"")</f>
        <v/>
      </c>
      <c r="B2797" s="36">
        <f t="shared" si="157"/>
        <v>12</v>
      </c>
      <c r="C2797" s="48">
        <f t="shared" si="159"/>
        <v>41272</v>
      </c>
      <c r="D2797" s="48" t="s">
        <v>1737</v>
      </c>
      <c r="E2797" s="918">
        <v>41272</v>
      </c>
      <c r="F2797" s="49" t="s">
        <v>1116</v>
      </c>
      <c r="G2797" s="49" t="s">
        <v>1101</v>
      </c>
      <c r="H2797" s="909" t="s">
        <v>1705</v>
      </c>
      <c r="I2797" s="250">
        <v>376</v>
      </c>
      <c r="J2797" s="250">
        <v>20605.339499629852</v>
      </c>
      <c r="K2797" s="51">
        <f t="shared" si="158"/>
        <v>7747608</v>
      </c>
      <c r="L2797" s="52" t="s">
        <v>177</v>
      </c>
      <c r="M2797" s="52" t="s">
        <v>175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customHeight="1">
      <c r="A2798" s="204" t="str">
        <f>IF(B2798&lt;&gt;"",IF(AND(B2798&gt;=_TM1,B2798&lt;=_TM2,OR(TH!L2798="1111",TH!M2798="1111")),TH!D2798,""),"")</f>
        <v/>
      </c>
      <c r="B2798" s="36">
        <f t="shared" si="157"/>
        <v>12</v>
      </c>
      <c r="C2798" s="48">
        <f t="shared" si="159"/>
        <v>41272</v>
      </c>
      <c r="D2798" s="48" t="s">
        <v>1737</v>
      </c>
      <c r="E2798" s="918">
        <v>41272</v>
      </c>
      <c r="F2798" s="49" t="s">
        <v>1114</v>
      </c>
      <c r="G2798" s="49" t="s">
        <v>1103</v>
      </c>
      <c r="H2798" s="909" t="s">
        <v>1705</v>
      </c>
      <c r="I2798" s="250">
        <v>1020</v>
      </c>
      <c r="J2798" s="250">
        <v>12936.965480022012</v>
      </c>
      <c r="K2798" s="51">
        <f t="shared" si="158"/>
        <v>13195705</v>
      </c>
      <c r="L2798" s="52" t="s">
        <v>177</v>
      </c>
      <c r="M2798" s="52" t="s">
        <v>175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s="894" customFormat="1" ht="15.75" customHeight="1">
      <c r="A2799" s="910" t="str">
        <f>IF(B2799&lt;&gt;"",IF(AND(B2799&gt;=_TM1,B2799&lt;=_TM2,OR(TH!L2799="1111",TH!M2799="1111")),TH!D2799,""),"")</f>
        <v/>
      </c>
      <c r="B2799" s="885">
        <f t="shared" si="157"/>
        <v>1</v>
      </c>
      <c r="C2799" s="911">
        <f t="shared" si="159"/>
        <v>40915</v>
      </c>
      <c r="D2799" s="911" t="s">
        <v>1738</v>
      </c>
      <c r="E2799" s="886">
        <v>40915</v>
      </c>
      <c r="F2799" s="916" t="s">
        <v>1478</v>
      </c>
      <c r="G2799" s="916" t="s">
        <v>1477</v>
      </c>
      <c r="H2799" s="914" t="s">
        <v>1706</v>
      </c>
      <c r="I2799" s="890">
        <v>25</v>
      </c>
      <c r="J2799" s="890">
        <v>43569.858268409291</v>
      </c>
      <c r="K2799" s="891">
        <f t="shared" si="158"/>
        <v>1089246</v>
      </c>
      <c r="L2799" s="912" t="s">
        <v>183</v>
      </c>
      <c r="M2799" s="912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customHeight="1">
      <c r="A2800" s="204" t="str">
        <f>IF(B2800&lt;&gt;"",IF(AND(B2800&gt;=_TM1,B2800&lt;=_TM2,OR(TH!L2800="1111",TH!M2800="1111")),TH!D2800,""),"")</f>
        <v/>
      </c>
      <c r="B2800" s="36">
        <f t="shared" ref="B2800:B2927" si="160">IF(C2800&lt;&gt;"",MONTH(C2800),"")</f>
        <v>1</v>
      </c>
      <c r="C2800" s="37">
        <f t="shared" ref="C2800:C2863" si="161">E2800</f>
        <v>40915</v>
      </c>
      <c r="D2800" s="37" t="s">
        <v>1738</v>
      </c>
      <c r="E2800" s="191">
        <v>40915</v>
      </c>
      <c r="F2800" s="40" t="s">
        <v>1479</v>
      </c>
      <c r="G2800" s="40" t="s">
        <v>1477</v>
      </c>
      <c r="H2800" s="7" t="s">
        <v>1706</v>
      </c>
      <c r="I2800" s="252">
        <v>50</v>
      </c>
      <c r="J2800" s="252">
        <v>23693.718268409288</v>
      </c>
      <c r="K2800" s="38">
        <f t="shared" ref="K2800:K2863" si="162">ROUND(I2800*J2800,0)</f>
        <v>1184686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customHeight="1">
      <c r="A2801" s="204" t="str">
        <f>IF(B2801&lt;&gt;"",IF(AND(B2801&gt;=_TM1,B2801&lt;=_TM2,OR(TH!L2801="1111",TH!M2801="1111")),TH!D2801,""),"")</f>
        <v/>
      </c>
      <c r="B2801" s="36">
        <f t="shared" si="160"/>
        <v>1</v>
      </c>
      <c r="C2801" s="37">
        <f t="shared" si="161"/>
        <v>40915</v>
      </c>
      <c r="D2801" s="37" t="s">
        <v>1738</v>
      </c>
      <c r="E2801" s="191">
        <v>40915</v>
      </c>
      <c r="F2801" s="40" t="s">
        <v>1480</v>
      </c>
      <c r="G2801" s="40" t="s">
        <v>1477</v>
      </c>
      <c r="H2801" s="7" t="s">
        <v>1706</v>
      </c>
      <c r="I2801" s="252">
        <v>25</v>
      </c>
      <c r="J2801" s="252">
        <v>48806.338268409287</v>
      </c>
      <c r="K2801" s="38">
        <f t="shared" si="162"/>
        <v>1220158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customHeight="1">
      <c r="A2802" s="204" t="str">
        <f>IF(B2802&lt;&gt;"",IF(AND(B2802&gt;=_TM1,B2802&lt;=_TM2,OR(TH!L2802="1111",TH!M2802="1111")),TH!D2802,""),"")</f>
        <v/>
      </c>
      <c r="B2802" s="36">
        <f t="shared" si="160"/>
        <v>1</v>
      </c>
      <c r="C2802" s="37">
        <f t="shared" si="161"/>
        <v>40915</v>
      </c>
      <c r="D2802" s="37" t="s">
        <v>1738</v>
      </c>
      <c r="E2802" s="191">
        <v>40915</v>
      </c>
      <c r="F2802" s="40" t="s">
        <v>1481</v>
      </c>
      <c r="G2802" s="40" t="s">
        <v>1477</v>
      </c>
      <c r="H2802" s="7" t="s">
        <v>1706</v>
      </c>
      <c r="I2802" s="252">
        <v>45</v>
      </c>
      <c r="J2802" s="252">
        <v>35860.596046187064</v>
      </c>
      <c r="K2802" s="38">
        <f t="shared" si="162"/>
        <v>1613727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customHeight="1">
      <c r="A2803" s="204" t="str">
        <f>IF(B2803&lt;&gt;"",IF(AND(B2803&gt;=_TM1,B2803&lt;=_TM2,OR(TH!L2803="1111",TH!M2803="1111")),TH!D2803,""),"")</f>
        <v/>
      </c>
      <c r="B2803" s="36">
        <f t="shared" si="160"/>
        <v>1</v>
      </c>
      <c r="C2803" s="37">
        <f t="shared" si="161"/>
        <v>40915</v>
      </c>
      <c r="D2803" s="37" t="s">
        <v>1738</v>
      </c>
      <c r="E2803" s="191">
        <v>40915</v>
      </c>
      <c r="F2803" s="40" t="s">
        <v>1482</v>
      </c>
      <c r="G2803" s="40" t="s">
        <v>1477</v>
      </c>
      <c r="H2803" s="7" t="s">
        <v>1706</v>
      </c>
      <c r="I2803" s="252">
        <v>100</v>
      </c>
      <c r="J2803" s="252">
        <v>27294.018268409287</v>
      </c>
      <c r="K2803" s="38">
        <f t="shared" si="162"/>
        <v>2729402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customHeight="1">
      <c r="A2804" s="204" t="str">
        <f>IF(B2804&lt;&gt;"",IF(AND(B2804&gt;=_TM1,B2804&lt;=_TM2,OR(TH!L2804="1111",TH!M2804="1111")),TH!D2804,""),"")</f>
        <v/>
      </c>
      <c r="B2804" s="36">
        <f t="shared" si="160"/>
        <v>1</v>
      </c>
      <c r="C2804" s="37">
        <f t="shared" si="161"/>
        <v>40915</v>
      </c>
      <c r="D2804" s="37" t="s">
        <v>1738</v>
      </c>
      <c r="E2804" s="191">
        <v>40915</v>
      </c>
      <c r="F2804" s="40" t="s">
        <v>1483</v>
      </c>
      <c r="G2804" s="40" t="s">
        <v>924</v>
      </c>
      <c r="H2804" s="7" t="s">
        <v>1706</v>
      </c>
      <c r="I2804" s="252">
        <v>149</v>
      </c>
      <c r="J2804" s="252">
        <v>17045.132362369015</v>
      </c>
      <c r="K2804" s="38">
        <f t="shared" si="162"/>
        <v>2539725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customHeight="1">
      <c r="A2805" s="204" t="str">
        <f>IF(B2805&lt;&gt;"",IF(AND(B2805&gt;=_TM1,B2805&lt;=_TM2,OR(TH!L2805="1111",TH!M2805="1111")),TH!D2805,""),"")</f>
        <v/>
      </c>
      <c r="B2805" s="36">
        <f t="shared" si="160"/>
        <v>1</v>
      </c>
      <c r="C2805" s="37">
        <f t="shared" si="161"/>
        <v>40915</v>
      </c>
      <c r="D2805" s="37" t="s">
        <v>1738</v>
      </c>
      <c r="E2805" s="191">
        <v>40915</v>
      </c>
      <c r="F2805" s="40" t="s">
        <v>1111</v>
      </c>
      <c r="G2805" s="40" t="s">
        <v>924</v>
      </c>
      <c r="H2805" s="7" t="s">
        <v>1706</v>
      </c>
      <c r="I2805" s="252">
        <v>300</v>
      </c>
      <c r="J2805" s="252">
        <v>1906.1516017426181</v>
      </c>
      <c r="K2805" s="38">
        <f t="shared" si="162"/>
        <v>571845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customHeight="1">
      <c r="A2806" s="204" t="str">
        <f>IF(B2806&lt;&gt;"",IF(AND(B2806&gt;=_TM1,B2806&lt;=_TM2,OR(TH!L2806="1111",TH!M2806="1111")),TH!D2806,""),"")</f>
        <v/>
      </c>
      <c r="B2806" s="36">
        <f t="shared" si="160"/>
        <v>1</v>
      </c>
      <c r="C2806" s="37">
        <f t="shared" si="161"/>
        <v>40915</v>
      </c>
      <c r="D2806" s="37" t="s">
        <v>1738</v>
      </c>
      <c r="E2806" s="191">
        <v>40915</v>
      </c>
      <c r="F2806" s="40" t="s">
        <v>1484</v>
      </c>
      <c r="G2806" s="40" t="s">
        <v>924</v>
      </c>
      <c r="H2806" s="7" t="s">
        <v>1706</v>
      </c>
      <c r="I2806" s="252">
        <v>119</v>
      </c>
      <c r="J2806" s="252">
        <v>36056.169528913495</v>
      </c>
      <c r="K2806" s="38">
        <f t="shared" si="162"/>
        <v>4290684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customHeight="1">
      <c r="A2807" s="204" t="str">
        <f>IF(B2807&lt;&gt;"",IF(AND(B2807&gt;=_TM1,B2807&lt;=_TM2,OR(TH!L2807="1111",TH!M2807="1111")),TH!D2807,""),"")</f>
        <v/>
      </c>
      <c r="B2807" s="36">
        <f t="shared" si="160"/>
        <v>1</v>
      </c>
      <c r="C2807" s="37">
        <f t="shared" si="161"/>
        <v>40915</v>
      </c>
      <c r="D2807" s="37" t="s">
        <v>1738</v>
      </c>
      <c r="E2807" s="191">
        <v>40915</v>
      </c>
      <c r="F2807" s="40" t="s">
        <v>1485</v>
      </c>
      <c r="G2807" s="40" t="s">
        <v>924</v>
      </c>
      <c r="H2807" s="7" t="s">
        <v>1706</v>
      </c>
      <c r="I2807" s="252">
        <v>240</v>
      </c>
      <c r="J2807" s="252">
        <v>2554.8182684092849</v>
      </c>
      <c r="K2807" s="38">
        <f t="shared" si="162"/>
        <v>613156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customHeight="1">
      <c r="A2808" s="204" t="str">
        <f>IF(B2808&lt;&gt;"",IF(AND(B2808&gt;=_TM1,B2808&lt;=_TM2,OR(TH!L2808="1111",TH!M2808="1111")),TH!D2808,""),"")</f>
        <v/>
      </c>
      <c r="B2808" s="36">
        <f t="shared" si="160"/>
        <v>1</v>
      </c>
      <c r="C2808" s="37">
        <f t="shared" si="161"/>
        <v>40915</v>
      </c>
      <c r="D2808" s="37" t="s">
        <v>1738</v>
      </c>
      <c r="E2808" s="191">
        <v>40915</v>
      </c>
      <c r="F2808" s="40" t="s">
        <v>1112</v>
      </c>
      <c r="G2808" s="40" t="s">
        <v>924</v>
      </c>
      <c r="H2808" s="7" t="s">
        <v>1706</v>
      </c>
      <c r="I2808" s="252">
        <v>3900</v>
      </c>
      <c r="J2808" s="252">
        <v>1809.7874991785159</v>
      </c>
      <c r="K2808" s="38">
        <f t="shared" si="162"/>
        <v>7058171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customHeight="1">
      <c r="A2809" s="204" t="str">
        <f>IF(B2809&lt;&gt;"",IF(AND(B2809&gt;=_TM1,B2809&lt;=_TM2,OR(TH!L2809="1111",TH!M2809="1111")),TH!D2809,""),"")</f>
        <v/>
      </c>
      <c r="B2809" s="36">
        <f t="shared" si="160"/>
        <v>1</v>
      </c>
      <c r="C2809" s="37">
        <f t="shared" si="161"/>
        <v>40917</v>
      </c>
      <c r="D2809" s="37" t="s">
        <v>1738</v>
      </c>
      <c r="E2809" s="191">
        <v>40917</v>
      </c>
      <c r="F2809" s="40" t="s">
        <v>1186</v>
      </c>
      <c r="G2809" s="40" t="s">
        <v>926</v>
      </c>
      <c r="H2809" s="7" t="s">
        <v>1706</v>
      </c>
      <c r="I2809" s="252">
        <v>973</v>
      </c>
      <c r="J2809" s="252">
        <v>17175.448895336314</v>
      </c>
      <c r="K2809" s="38">
        <f t="shared" si="162"/>
        <v>16711712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customHeight="1">
      <c r="A2810" s="204" t="str">
        <f>IF(B2810&lt;&gt;"",IF(AND(B2810&gt;=_TM1,B2810&lt;=_TM2,OR(TH!L2810="1111",TH!M2810="1111")),TH!D2810,""),"")</f>
        <v/>
      </c>
      <c r="B2810" s="36">
        <f t="shared" si="160"/>
        <v>1</v>
      </c>
      <c r="C2810" s="37">
        <f t="shared" si="161"/>
        <v>40917</v>
      </c>
      <c r="D2810" s="37" t="s">
        <v>1738</v>
      </c>
      <c r="E2810" s="191">
        <v>40917</v>
      </c>
      <c r="F2810" s="40" t="s">
        <v>925</v>
      </c>
      <c r="G2810" s="40" t="s">
        <v>928</v>
      </c>
      <c r="H2810" s="7" t="s">
        <v>1706</v>
      </c>
      <c r="I2810" s="252">
        <v>1000</v>
      </c>
      <c r="J2810" s="252">
        <v>9202.0022684092855</v>
      </c>
      <c r="K2810" s="38">
        <f t="shared" si="162"/>
        <v>9202002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customHeight="1">
      <c r="A2811" s="204" t="str">
        <f>IF(B2811&lt;&gt;"",IF(AND(B2811&gt;=_TM1,B2811&lt;=_TM2,OR(TH!L2811="1111",TH!M2811="1111")),TH!D2811,""),"")</f>
        <v/>
      </c>
      <c r="B2811" s="36">
        <f t="shared" si="160"/>
        <v>1</v>
      </c>
      <c r="C2811" s="37">
        <f t="shared" si="161"/>
        <v>40918</v>
      </c>
      <c r="D2811" s="37" t="s">
        <v>1738</v>
      </c>
      <c r="E2811" s="191">
        <v>40918</v>
      </c>
      <c r="F2811" s="40" t="s">
        <v>925</v>
      </c>
      <c r="G2811" s="40" t="s">
        <v>929</v>
      </c>
      <c r="H2811" s="7" t="s">
        <v>1706</v>
      </c>
      <c r="I2811" s="252">
        <v>202</v>
      </c>
      <c r="J2811" s="252">
        <v>43182.424209003344</v>
      </c>
      <c r="K2811" s="38">
        <f t="shared" si="162"/>
        <v>8722850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customHeight="1">
      <c r="A2812" s="204" t="str">
        <f>IF(B2812&lt;&gt;"",IF(AND(B2812&gt;=_TM1,B2812&lt;=_TM2,OR(TH!L2812="1111",TH!M2812="1111")),TH!D2812,""),"")</f>
        <v/>
      </c>
      <c r="B2812" s="36">
        <f t="shared" si="160"/>
        <v>1</v>
      </c>
      <c r="C2812" s="37">
        <f t="shared" si="161"/>
        <v>40922</v>
      </c>
      <c r="D2812" s="37" t="s">
        <v>1738</v>
      </c>
      <c r="E2812" s="191">
        <v>40922</v>
      </c>
      <c r="F2812" s="40" t="s">
        <v>1113</v>
      </c>
      <c r="G2812" s="40" t="s">
        <v>930</v>
      </c>
      <c r="H2812" s="7" t="s">
        <v>1706</v>
      </c>
      <c r="I2812" s="252">
        <v>492</v>
      </c>
      <c r="J2812" s="252">
        <v>4671.7174554011553</v>
      </c>
      <c r="K2812" s="38">
        <f t="shared" si="162"/>
        <v>2298485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customHeight="1">
      <c r="A2813" s="204" t="str">
        <f>IF(B2813&lt;&gt;"",IF(AND(B2813&gt;=_TM1,B2813&lt;=_TM2,OR(TH!L2813="1111",TH!M2813="1111")),TH!D2813,""),"")</f>
        <v/>
      </c>
      <c r="B2813" s="36">
        <f t="shared" si="160"/>
        <v>1</v>
      </c>
      <c r="C2813" s="37">
        <f t="shared" si="161"/>
        <v>40922</v>
      </c>
      <c r="D2813" s="37" t="s">
        <v>1738</v>
      </c>
      <c r="E2813" s="191">
        <v>40922</v>
      </c>
      <c r="F2813" s="40" t="s">
        <v>1486</v>
      </c>
      <c r="G2813" s="40" t="s">
        <v>930</v>
      </c>
      <c r="H2813" s="7" t="s">
        <v>1706</v>
      </c>
      <c r="I2813" s="252">
        <v>304</v>
      </c>
      <c r="J2813" s="252">
        <v>4619.9130052513901</v>
      </c>
      <c r="K2813" s="38">
        <f t="shared" si="162"/>
        <v>1404454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customHeight="1">
      <c r="A2814" s="204" t="str">
        <f>IF(B2814&lt;&gt;"",IF(AND(B2814&gt;=_TM1,B2814&lt;=_TM2,OR(TH!L2814="1111",TH!M2814="1111")),TH!D2814,""),"")</f>
        <v/>
      </c>
      <c r="B2814" s="36">
        <f t="shared" si="160"/>
        <v>1</v>
      </c>
      <c r="C2814" s="37">
        <f t="shared" si="161"/>
        <v>40922</v>
      </c>
      <c r="D2814" s="37" t="s">
        <v>1738</v>
      </c>
      <c r="E2814" s="191">
        <v>40922</v>
      </c>
      <c r="F2814" s="40" t="s">
        <v>1487</v>
      </c>
      <c r="G2814" s="40" t="s">
        <v>930</v>
      </c>
      <c r="H2814" s="7" t="s">
        <v>1706</v>
      </c>
      <c r="I2814" s="252">
        <v>1000</v>
      </c>
      <c r="J2814" s="252">
        <v>8876.3982684092862</v>
      </c>
      <c r="K2814" s="38">
        <f t="shared" si="162"/>
        <v>8876398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customHeight="1">
      <c r="A2815" s="204" t="str">
        <f>IF(B2815&lt;&gt;"",IF(AND(B2815&gt;=_TM1,B2815&lt;=_TM2,OR(TH!L2815="1111",TH!M2815="1111")),TH!D2815,""),"")</f>
        <v/>
      </c>
      <c r="B2815" s="36">
        <f t="shared" si="160"/>
        <v>1</v>
      </c>
      <c r="C2815" s="37">
        <f t="shared" si="161"/>
        <v>40922</v>
      </c>
      <c r="D2815" s="37" t="s">
        <v>1738</v>
      </c>
      <c r="E2815" s="191">
        <v>40922</v>
      </c>
      <c r="F2815" s="40" t="s">
        <v>1488</v>
      </c>
      <c r="G2815" s="40" t="s">
        <v>930</v>
      </c>
      <c r="H2815" s="7" t="s">
        <v>1706</v>
      </c>
      <c r="I2815" s="252">
        <v>500</v>
      </c>
      <c r="J2815" s="252">
        <v>6586.348268409286</v>
      </c>
      <c r="K2815" s="38">
        <f t="shared" si="162"/>
        <v>3293174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customHeight="1">
      <c r="A2816" s="204" t="str">
        <f>IF(B2816&lt;&gt;"",IF(AND(B2816&gt;=_TM1,B2816&lt;=_TM2,OR(TH!L2816="1111",TH!M2816="1111")),TH!D2816,""),"")</f>
        <v/>
      </c>
      <c r="B2816" s="36">
        <f t="shared" si="160"/>
        <v>1</v>
      </c>
      <c r="C2816" s="37">
        <f t="shared" si="161"/>
        <v>40924</v>
      </c>
      <c r="D2816" s="37" t="s">
        <v>1738</v>
      </c>
      <c r="E2816" s="191">
        <v>40924</v>
      </c>
      <c r="F2816" s="40" t="s">
        <v>1481</v>
      </c>
      <c r="G2816" s="40" t="s">
        <v>931</v>
      </c>
      <c r="H2816" s="7" t="s">
        <v>1706</v>
      </c>
      <c r="I2816" s="252">
        <v>5</v>
      </c>
      <c r="J2816" s="252">
        <v>33129.01826840928</v>
      </c>
      <c r="K2816" s="38">
        <f t="shared" si="162"/>
        <v>165645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customHeight="1">
      <c r="A2817" s="204" t="str">
        <f>IF(B2817&lt;&gt;"",IF(AND(B2817&gt;=_TM1,B2817&lt;=_TM2,OR(TH!L2817="1111",TH!M2817="1111")),TH!D2817,""),"")</f>
        <v/>
      </c>
      <c r="B2817" s="36">
        <f t="shared" si="160"/>
        <v>1</v>
      </c>
      <c r="C2817" s="37">
        <f t="shared" si="161"/>
        <v>40924</v>
      </c>
      <c r="D2817" s="37" t="s">
        <v>1738</v>
      </c>
      <c r="E2817" s="191">
        <v>40924</v>
      </c>
      <c r="F2817" s="40" t="s">
        <v>1483</v>
      </c>
      <c r="G2817" s="40" t="s">
        <v>931</v>
      </c>
      <c r="H2817" s="7" t="s">
        <v>1706</v>
      </c>
      <c r="I2817" s="252">
        <v>1</v>
      </c>
      <c r="J2817" s="252">
        <v>17063.018268409283</v>
      </c>
      <c r="K2817" s="38">
        <f t="shared" si="162"/>
        <v>17063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customHeight="1">
      <c r="A2818" s="204" t="str">
        <f>IF(B2818&lt;&gt;"",IF(AND(B2818&gt;=_TM1,B2818&lt;=_TM2,OR(TH!L2818="1111",TH!M2818="1111")),TH!D2818,""),"")</f>
        <v/>
      </c>
      <c r="B2818" s="36">
        <f t="shared" si="160"/>
        <v>1</v>
      </c>
      <c r="C2818" s="37">
        <f t="shared" si="161"/>
        <v>40924</v>
      </c>
      <c r="D2818" s="37" t="s">
        <v>1738</v>
      </c>
      <c r="E2818" s="191">
        <v>40924</v>
      </c>
      <c r="F2818" s="40" t="s">
        <v>1484</v>
      </c>
      <c r="G2818" s="40" t="s">
        <v>931</v>
      </c>
      <c r="H2818" s="7" t="s">
        <v>1706</v>
      </c>
      <c r="I2818" s="252">
        <v>91</v>
      </c>
      <c r="J2818" s="252">
        <v>36001.205081596097</v>
      </c>
      <c r="K2818" s="38">
        <f t="shared" si="162"/>
        <v>3276110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customHeight="1">
      <c r="A2819" s="204" t="str">
        <f>IF(B2819&lt;&gt;"",IF(AND(B2819&gt;=_TM1,B2819&lt;=_TM2,OR(TH!L2819="1111",TH!M2819="1111")),TH!D2819,""),"")</f>
        <v/>
      </c>
      <c r="B2819" s="36">
        <f t="shared" si="160"/>
        <v>1</v>
      </c>
      <c r="C2819" s="37">
        <f t="shared" si="161"/>
        <v>40924</v>
      </c>
      <c r="D2819" s="37" t="s">
        <v>1738</v>
      </c>
      <c r="E2819" s="191">
        <v>40924</v>
      </c>
      <c r="F2819" s="40" t="s">
        <v>1235</v>
      </c>
      <c r="G2819" s="40" t="s">
        <v>931</v>
      </c>
      <c r="H2819" s="7" t="s">
        <v>1706</v>
      </c>
      <c r="I2819" s="252">
        <v>210</v>
      </c>
      <c r="J2819" s="252">
        <v>27527.732554123573</v>
      </c>
      <c r="K2819" s="38">
        <f t="shared" si="162"/>
        <v>5780824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customHeight="1">
      <c r="A2820" s="204" t="str">
        <f>IF(B2820&lt;&gt;"",IF(AND(B2820&gt;=_TM1,B2820&lt;=_TM2,OR(TH!L2820="1111",TH!M2820="1111")),TH!D2820,""),"")</f>
        <v/>
      </c>
      <c r="B2820" s="36">
        <f t="shared" si="160"/>
        <v>1</v>
      </c>
      <c r="C2820" s="37">
        <f t="shared" si="161"/>
        <v>40924</v>
      </c>
      <c r="D2820" s="37" t="s">
        <v>1738</v>
      </c>
      <c r="E2820" s="191">
        <v>40924</v>
      </c>
      <c r="F2820" s="40" t="s">
        <v>1236</v>
      </c>
      <c r="G2820" s="40" t="s">
        <v>931</v>
      </c>
      <c r="H2820" s="7" t="s">
        <v>1706</v>
      </c>
      <c r="I2820" s="252">
        <v>420</v>
      </c>
      <c r="J2820" s="252">
        <v>2116.4182684092848</v>
      </c>
      <c r="K2820" s="38">
        <f t="shared" si="162"/>
        <v>888896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customHeight="1">
      <c r="A2821" s="204" t="str">
        <f>IF(B2821&lt;&gt;"",IF(AND(B2821&gt;=_TM1,B2821&lt;=_TM2,OR(TH!L2821="1111",TH!M2821="1111")),TH!D2821,""),"")</f>
        <v/>
      </c>
      <c r="B2821" s="36">
        <f t="shared" si="160"/>
        <v>1</v>
      </c>
      <c r="C2821" s="37">
        <f t="shared" si="161"/>
        <v>40924</v>
      </c>
      <c r="D2821" s="37" t="s">
        <v>1738</v>
      </c>
      <c r="E2821" s="191">
        <v>40924</v>
      </c>
      <c r="F2821" s="40" t="s">
        <v>1485</v>
      </c>
      <c r="G2821" s="40" t="s">
        <v>931</v>
      </c>
      <c r="H2821" s="7" t="s">
        <v>1706</v>
      </c>
      <c r="I2821" s="252">
        <v>180</v>
      </c>
      <c r="J2821" s="252">
        <v>2554.8182684092853</v>
      </c>
      <c r="K2821" s="38">
        <f t="shared" si="162"/>
        <v>459867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customHeight="1">
      <c r="A2822" s="204" t="str">
        <f>IF(B2822&lt;&gt;"",IF(AND(B2822&gt;=_TM1,B2822&lt;=_TM2,OR(TH!L2822="1111",TH!M2822="1111")),TH!D2822,""),"")</f>
        <v/>
      </c>
      <c r="B2822" s="36">
        <f t="shared" si="160"/>
        <v>1</v>
      </c>
      <c r="C2822" s="37">
        <f t="shared" si="161"/>
        <v>40925</v>
      </c>
      <c r="D2822" s="37" t="s">
        <v>1738</v>
      </c>
      <c r="E2822" s="191">
        <v>40925</v>
      </c>
      <c r="F2822" s="40" t="s">
        <v>1496</v>
      </c>
      <c r="G2822" s="40" t="s">
        <v>1547</v>
      </c>
      <c r="H2822" s="7" t="s">
        <v>1706</v>
      </c>
      <c r="I2822" s="252">
        <v>90</v>
      </c>
      <c r="J2822" s="252">
        <v>13635.629379520396</v>
      </c>
      <c r="K2822" s="38">
        <f t="shared" si="162"/>
        <v>1227207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customHeight="1">
      <c r="A2823" s="204" t="str">
        <f>IF(B2823&lt;&gt;"",IF(AND(B2823&gt;=_TM1,B2823&lt;=_TM2,OR(TH!L2823="1111",TH!M2823="1111")),TH!D2823,""),"")</f>
        <v/>
      </c>
      <c r="B2823" s="36">
        <f t="shared" si="160"/>
        <v>1</v>
      </c>
      <c r="C2823" s="37">
        <f t="shared" si="161"/>
        <v>40925</v>
      </c>
      <c r="D2823" s="37" t="s">
        <v>1738</v>
      </c>
      <c r="E2823" s="191">
        <v>40925</v>
      </c>
      <c r="F2823" s="40" t="s">
        <v>1497</v>
      </c>
      <c r="G2823" s="40" t="s">
        <v>1547</v>
      </c>
      <c r="H2823" s="7" t="s">
        <v>1706</v>
      </c>
      <c r="I2823" s="252">
        <v>180</v>
      </c>
      <c r="J2823" s="252">
        <v>6768.5182684092852</v>
      </c>
      <c r="K2823" s="38">
        <f t="shared" si="162"/>
        <v>1218333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customHeight="1">
      <c r="A2824" s="204" t="str">
        <f>IF(B2824&lt;&gt;"",IF(AND(B2824&gt;=_TM1,B2824&lt;=_TM2,OR(TH!L2824="1111",TH!M2824="1111")),TH!D2824,""),"")</f>
        <v/>
      </c>
      <c r="B2824" s="36">
        <f t="shared" si="160"/>
        <v>1</v>
      </c>
      <c r="C2824" s="37">
        <f t="shared" si="161"/>
        <v>40925</v>
      </c>
      <c r="D2824" s="37" t="s">
        <v>1738</v>
      </c>
      <c r="E2824" s="191">
        <v>40925</v>
      </c>
      <c r="F2824" s="40" t="s">
        <v>1498</v>
      </c>
      <c r="G2824" s="40" t="s">
        <v>1547</v>
      </c>
      <c r="H2824" s="7" t="s">
        <v>1706</v>
      </c>
      <c r="I2824" s="252">
        <v>20</v>
      </c>
      <c r="J2824" s="252">
        <v>12799.518268409285</v>
      </c>
      <c r="K2824" s="38">
        <f t="shared" si="162"/>
        <v>255990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customHeight="1">
      <c r="A2825" s="204" t="str">
        <f>IF(B2825&lt;&gt;"",IF(AND(B2825&gt;=_TM1,B2825&lt;=_TM2,OR(TH!L2825="1111",TH!M2825="1111")),TH!D2825,""),"")</f>
        <v/>
      </c>
      <c r="B2825" s="36">
        <f t="shared" si="160"/>
        <v>1</v>
      </c>
      <c r="C2825" s="37">
        <f t="shared" si="161"/>
        <v>40925</v>
      </c>
      <c r="D2825" s="37" t="s">
        <v>1738</v>
      </c>
      <c r="E2825" s="191">
        <v>40925</v>
      </c>
      <c r="F2825" s="40" t="s">
        <v>1499</v>
      </c>
      <c r="G2825" s="40" t="s">
        <v>1547</v>
      </c>
      <c r="H2825" s="7" t="s">
        <v>1706</v>
      </c>
      <c r="I2825" s="252">
        <v>590</v>
      </c>
      <c r="J2825" s="252">
        <v>6071.8623362058943</v>
      </c>
      <c r="K2825" s="38">
        <f t="shared" si="162"/>
        <v>3582399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customHeight="1">
      <c r="A2826" s="204" t="str">
        <f>IF(B2826&lt;&gt;"",IF(AND(B2826&gt;=_TM1,B2826&lt;=_TM2,OR(TH!L2826="1111",TH!M2826="1111")),TH!D2826,""),"")</f>
        <v/>
      </c>
      <c r="B2826" s="36">
        <f t="shared" si="160"/>
        <v>1</v>
      </c>
      <c r="C2826" s="37">
        <f t="shared" si="161"/>
        <v>40925</v>
      </c>
      <c r="D2826" s="37" t="s">
        <v>1738</v>
      </c>
      <c r="E2826" s="191">
        <v>40925</v>
      </c>
      <c r="F2826" s="40" t="s">
        <v>1500</v>
      </c>
      <c r="G2826" s="40" t="s">
        <v>1547</v>
      </c>
      <c r="H2826" s="7" t="s">
        <v>1706</v>
      </c>
      <c r="I2826" s="252">
        <v>60</v>
      </c>
      <c r="J2826" s="252">
        <v>4529.684935075953</v>
      </c>
      <c r="K2826" s="38">
        <f t="shared" si="162"/>
        <v>271781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customHeight="1">
      <c r="A2827" s="204" t="str">
        <f>IF(B2827&lt;&gt;"",IF(AND(B2827&gt;=_TM1,B2827&lt;=_TM2,OR(TH!L2827="1111",TH!M2827="1111")),TH!D2827,""),"")</f>
        <v/>
      </c>
      <c r="B2827" s="36">
        <f t="shared" si="160"/>
        <v>1</v>
      </c>
      <c r="C2827" s="37">
        <f t="shared" si="161"/>
        <v>40925</v>
      </c>
      <c r="D2827" s="37" t="s">
        <v>1738</v>
      </c>
      <c r="E2827" s="191">
        <v>40925</v>
      </c>
      <c r="F2827" s="40" t="s">
        <v>1501</v>
      </c>
      <c r="G2827" s="40" t="s">
        <v>1547</v>
      </c>
      <c r="H2827" s="7" t="s">
        <v>1706</v>
      </c>
      <c r="I2827" s="252">
        <v>150</v>
      </c>
      <c r="J2827" s="252">
        <v>8465.3516017426191</v>
      </c>
      <c r="K2827" s="38">
        <f t="shared" si="162"/>
        <v>1269803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customHeight="1">
      <c r="A2828" s="204" t="str">
        <f>IF(B2828&lt;&gt;"",IF(AND(B2828&gt;=_TM1,B2828&lt;=_TM2,OR(TH!L2828="1111",TH!M2828="1111")),TH!D2828,""),"")</f>
        <v/>
      </c>
      <c r="B2828" s="36">
        <f t="shared" si="160"/>
        <v>1</v>
      </c>
      <c r="C2828" s="37">
        <f t="shared" si="161"/>
        <v>40925</v>
      </c>
      <c r="D2828" s="37" t="s">
        <v>1738</v>
      </c>
      <c r="E2828" s="191">
        <v>40925</v>
      </c>
      <c r="F2828" s="40" t="s">
        <v>1502</v>
      </c>
      <c r="G2828" s="40" t="s">
        <v>1547</v>
      </c>
      <c r="H2828" s="7" t="s">
        <v>1706</v>
      </c>
      <c r="I2828" s="252">
        <v>218</v>
      </c>
      <c r="J2828" s="252">
        <v>9150.3118463909359</v>
      </c>
      <c r="K2828" s="38">
        <f t="shared" si="162"/>
        <v>1994768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customHeight="1">
      <c r="A2829" s="204" t="str">
        <f>IF(B2829&lt;&gt;"",IF(AND(B2829&gt;=_TM1,B2829&lt;=_TM2,OR(TH!L2829="1111",TH!M2829="1111")),TH!D2829,""),"")</f>
        <v/>
      </c>
      <c r="B2829" s="36">
        <f t="shared" si="160"/>
        <v>1</v>
      </c>
      <c r="C2829" s="37">
        <f t="shared" si="161"/>
        <v>40925</v>
      </c>
      <c r="D2829" s="37" t="s">
        <v>1738</v>
      </c>
      <c r="E2829" s="191">
        <v>40925</v>
      </c>
      <c r="F2829" s="40" t="s">
        <v>1548</v>
      </c>
      <c r="G2829" s="40" t="s">
        <v>1547</v>
      </c>
      <c r="H2829" s="7" t="s">
        <v>1706</v>
      </c>
      <c r="I2829" s="252">
        <v>40</v>
      </c>
      <c r="J2829" s="252">
        <v>13907.393268409287</v>
      </c>
      <c r="K2829" s="38">
        <f t="shared" si="162"/>
        <v>556296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customHeight="1">
      <c r="A2830" s="204" t="str">
        <f>IF(B2830&lt;&gt;"",IF(AND(B2830&gt;=_TM1,B2830&lt;=_TM2,OR(TH!L2830="1111",TH!M2830="1111")),TH!D2830,""),"")</f>
        <v/>
      </c>
      <c r="B2830" s="36">
        <f t="shared" si="160"/>
        <v>1</v>
      </c>
      <c r="C2830" s="37">
        <f t="shared" si="161"/>
        <v>40925</v>
      </c>
      <c r="D2830" s="37" t="s">
        <v>1738</v>
      </c>
      <c r="E2830" s="191">
        <v>40925</v>
      </c>
      <c r="F2830" s="40" t="s">
        <v>1504</v>
      </c>
      <c r="G2830" s="40" t="s">
        <v>1547</v>
      </c>
      <c r="H2830" s="7" t="s">
        <v>1706</v>
      </c>
      <c r="I2830" s="252">
        <v>350</v>
      </c>
      <c r="J2830" s="252">
        <v>8129.218268409285</v>
      </c>
      <c r="K2830" s="38">
        <f t="shared" si="162"/>
        <v>2845226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customHeight="1">
      <c r="A2831" s="204" t="str">
        <f>IF(B2831&lt;&gt;"",IF(AND(B2831&gt;=_TM1,B2831&lt;=_TM2,OR(TH!L2831="1111",TH!M2831="1111")),TH!D2831,""),"")</f>
        <v/>
      </c>
      <c r="B2831" s="36">
        <f t="shared" si="160"/>
        <v>1</v>
      </c>
      <c r="C2831" s="37">
        <f t="shared" si="161"/>
        <v>40925</v>
      </c>
      <c r="D2831" s="37" t="s">
        <v>1738</v>
      </c>
      <c r="E2831" s="191">
        <v>40925</v>
      </c>
      <c r="F2831" s="40" t="s">
        <v>1505</v>
      </c>
      <c r="G2831" s="40" t="s">
        <v>1547</v>
      </c>
      <c r="H2831" s="7" t="s">
        <v>1706</v>
      </c>
      <c r="I2831" s="252">
        <v>366</v>
      </c>
      <c r="J2831" s="252">
        <v>9061.2423121251322</v>
      </c>
      <c r="K2831" s="38">
        <f t="shared" si="162"/>
        <v>3316415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customHeight="1">
      <c r="A2832" s="204" t="str">
        <f>IF(B2832&lt;&gt;"",IF(AND(B2832&gt;=_TM1,B2832&lt;=_TM2,OR(TH!L2832="1111",TH!M2832="1111")),TH!D2832,""),"")</f>
        <v/>
      </c>
      <c r="B2832" s="36">
        <f t="shared" si="160"/>
        <v>1</v>
      </c>
      <c r="C2832" s="37">
        <f t="shared" si="161"/>
        <v>40926</v>
      </c>
      <c r="D2832" s="37" t="s">
        <v>1738</v>
      </c>
      <c r="E2832" s="191">
        <v>40926</v>
      </c>
      <c r="F2832" s="40" t="s">
        <v>1512</v>
      </c>
      <c r="G2832" s="40" t="s">
        <v>1549</v>
      </c>
      <c r="H2832" s="7" t="s">
        <v>1706</v>
      </c>
      <c r="I2832" s="252">
        <v>500</v>
      </c>
      <c r="J2832" s="252">
        <v>8127.058268409286</v>
      </c>
      <c r="K2832" s="38">
        <f t="shared" si="162"/>
        <v>4063529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customHeight="1">
      <c r="A2833" s="204" t="str">
        <f>IF(B2833&lt;&gt;"",IF(AND(B2833&gt;=_TM1,B2833&lt;=_TM2,OR(TH!L2833="1111",TH!M2833="1111")),TH!D2833,""),"")</f>
        <v/>
      </c>
      <c r="B2833" s="36">
        <f t="shared" si="160"/>
        <v>1</v>
      </c>
      <c r="C2833" s="37">
        <f t="shared" si="161"/>
        <v>40926</v>
      </c>
      <c r="D2833" s="37" t="s">
        <v>1738</v>
      </c>
      <c r="E2833" s="191">
        <v>40926</v>
      </c>
      <c r="F2833" s="40" t="s">
        <v>1513</v>
      </c>
      <c r="G2833" s="40" t="s">
        <v>1549</v>
      </c>
      <c r="H2833" s="7" t="s">
        <v>1706</v>
      </c>
      <c r="I2833" s="252">
        <v>240</v>
      </c>
      <c r="J2833" s="252">
        <v>14703.093268409284</v>
      </c>
      <c r="K2833" s="38">
        <f t="shared" si="162"/>
        <v>3528742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customHeight="1">
      <c r="A2834" s="204" t="str">
        <f>IF(B2834&lt;&gt;"",IF(AND(B2834&gt;=_TM1,B2834&lt;=_TM2,OR(TH!L2834="1111",TH!M2834="1111")),TH!D2834,""),"")</f>
        <v/>
      </c>
      <c r="B2834" s="36">
        <f t="shared" si="160"/>
        <v>1</v>
      </c>
      <c r="C2834" s="37">
        <f t="shared" si="161"/>
        <v>40926</v>
      </c>
      <c r="D2834" s="37" t="s">
        <v>1738</v>
      </c>
      <c r="E2834" s="191">
        <v>40926</v>
      </c>
      <c r="F2834" s="40" t="s">
        <v>1514</v>
      </c>
      <c r="G2834" s="40" t="s">
        <v>1549</v>
      </c>
      <c r="H2834" s="7" t="s">
        <v>1706</v>
      </c>
      <c r="I2834" s="252">
        <v>170</v>
      </c>
      <c r="J2834" s="252">
        <v>11461.518268409283</v>
      </c>
      <c r="K2834" s="38">
        <f t="shared" si="162"/>
        <v>1948458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customHeight="1">
      <c r="A2835" s="204" t="str">
        <f>IF(B2835&lt;&gt;"",IF(AND(B2835&gt;=_TM1,B2835&lt;=_TM2,OR(TH!L2835="1111",TH!M2835="1111")),TH!D2835,""),"")</f>
        <v/>
      </c>
      <c r="B2835" s="36">
        <f t="shared" si="160"/>
        <v>1</v>
      </c>
      <c r="C2835" s="37">
        <f t="shared" si="161"/>
        <v>40926</v>
      </c>
      <c r="D2835" s="37" t="s">
        <v>1738</v>
      </c>
      <c r="E2835" s="191">
        <v>40926</v>
      </c>
      <c r="F2835" s="40" t="s">
        <v>1498</v>
      </c>
      <c r="G2835" s="40" t="s">
        <v>1549</v>
      </c>
      <c r="H2835" s="7" t="s">
        <v>1706</v>
      </c>
      <c r="I2835" s="252">
        <v>30</v>
      </c>
      <c r="J2835" s="252">
        <v>11461.518268409283</v>
      </c>
      <c r="K2835" s="38">
        <f t="shared" si="162"/>
        <v>343846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customHeight="1">
      <c r="A2836" s="204" t="str">
        <f>IF(B2836&lt;&gt;"",IF(AND(B2836&gt;=_TM1,B2836&lt;=_TM2,OR(TH!L2836="1111",TH!M2836="1111")),TH!D2836,""),"")</f>
        <v/>
      </c>
      <c r="B2836" s="36">
        <f t="shared" si="160"/>
        <v>1</v>
      </c>
      <c r="C2836" s="37">
        <f t="shared" si="161"/>
        <v>40926</v>
      </c>
      <c r="D2836" s="37" t="s">
        <v>1738</v>
      </c>
      <c r="E2836" s="191">
        <v>40926</v>
      </c>
      <c r="F2836" s="40" t="s">
        <v>1509</v>
      </c>
      <c r="G2836" s="40" t="s">
        <v>1549</v>
      </c>
      <c r="H2836" s="7" t="s">
        <v>1706</v>
      </c>
      <c r="I2836" s="252">
        <v>350</v>
      </c>
      <c r="J2836" s="252">
        <v>14960.846839837857</v>
      </c>
      <c r="K2836" s="38">
        <f t="shared" si="162"/>
        <v>5236296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customHeight="1">
      <c r="A2837" s="204" t="str">
        <f>IF(B2837&lt;&gt;"",IF(AND(B2837&gt;=_TM1,B2837&lt;=_TM2,OR(TH!L2837="1111",TH!M2837="1111")),TH!D2837,""),"")</f>
        <v/>
      </c>
      <c r="B2837" s="36">
        <f t="shared" si="160"/>
        <v>1</v>
      </c>
      <c r="C2837" s="37">
        <f t="shared" si="161"/>
        <v>40926</v>
      </c>
      <c r="D2837" s="37" t="s">
        <v>1738</v>
      </c>
      <c r="E2837" s="191">
        <v>40926</v>
      </c>
      <c r="F2837" s="40" t="s">
        <v>1550</v>
      </c>
      <c r="G2837" s="40" t="s">
        <v>1549</v>
      </c>
      <c r="H2837" s="7" t="s">
        <v>1706</v>
      </c>
      <c r="I2837" s="252">
        <v>20</v>
      </c>
      <c r="J2837" s="252">
        <v>18024.018268409287</v>
      </c>
      <c r="K2837" s="38">
        <f t="shared" si="162"/>
        <v>360480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customHeight="1">
      <c r="A2838" s="204" t="str">
        <f>IF(B2838&lt;&gt;"",IF(AND(B2838&gt;=_TM1,B2838&lt;=_TM2,OR(TH!L2838="1111",TH!M2838="1111")),TH!D2838,""),"")</f>
        <v/>
      </c>
      <c r="B2838" s="36">
        <f t="shared" si="160"/>
        <v>1</v>
      </c>
      <c r="C2838" s="37">
        <f t="shared" si="161"/>
        <v>40926</v>
      </c>
      <c r="D2838" s="37" t="s">
        <v>1738</v>
      </c>
      <c r="E2838" s="191">
        <v>40926</v>
      </c>
      <c r="F2838" s="40" t="s">
        <v>1516</v>
      </c>
      <c r="G2838" s="40" t="s">
        <v>1549</v>
      </c>
      <c r="H2838" s="7" t="s">
        <v>1706</v>
      </c>
      <c r="I2838" s="252">
        <v>300</v>
      </c>
      <c r="J2838" s="252">
        <v>15967.351601742615</v>
      </c>
      <c r="K2838" s="38">
        <f t="shared" si="162"/>
        <v>4790205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customHeight="1">
      <c r="A2839" s="204" t="str">
        <f>IF(B2839&lt;&gt;"",IF(AND(B2839&gt;=_TM1,B2839&lt;=_TM2,OR(TH!L2839="1111",TH!M2839="1111")),TH!D2839,""),"")</f>
        <v/>
      </c>
      <c r="B2839" s="36">
        <f t="shared" si="160"/>
        <v>1</v>
      </c>
      <c r="C2839" s="37">
        <f t="shared" si="161"/>
        <v>40926</v>
      </c>
      <c r="D2839" s="37" t="s">
        <v>1738</v>
      </c>
      <c r="E2839" s="191">
        <v>40926</v>
      </c>
      <c r="F2839" s="40" t="s">
        <v>1517</v>
      </c>
      <c r="G2839" s="40" t="s">
        <v>1549</v>
      </c>
      <c r="H2839" s="7" t="s">
        <v>1706</v>
      </c>
      <c r="I2839" s="252">
        <v>40</v>
      </c>
      <c r="J2839" s="252">
        <v>18952.593268409288</v>
      </c>
      <c r="K2839" s="38">
        <f t="shared" si="162"/>
        <v>758104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customHeight="1">
      <c r="A2840" s="204" t="str">
        <f>IF(B2840&lt;&gt;"",IF(AND(B2840&gt;=_TM1,B2840&lt;=_TM2,OR(TH!L2840="1111",TH!M2840="1111")),TH!D2840,""),"")</f>
        <v/>
      </c>
      <c r="B2840" s="36">
        <f t="shared" si="160"/>
        <v>1</v>
      </c>
      <c r="C2840" s="37">
        <f t="shared" si="161"/>
        <v>40926</v>
      </c>
      <c r="D2840" s="37" t="s">
        <v>1738</v>
      </c>
      <c r="E2840" s="191">
        <v>40926</v>
      </c>
      <c r="F2840" s="40" t="s">
        <v>1518</v>
      </c>
      <c r="G2840" s="40" t="s">
        <v>1549</v>
      </c>
      <c r="H2840" s="7" t="s">
        <v>1706</v>
      </c>
      <c r="I2840" s="252">
        <v>260</v>
      </c>
      <c r="J2840" s="252">
        <v>15184.018268409285</v>
      </c>
      <c r="K2840" s="38">
        <f t="shared" si="162"/>
        <v>3947845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customHeight="1">
      <c r="A2841" s="204" t="str">
        <f>IF(B2841&lt;&gt;"",IF(AND(B2841&gt;=_TM1,B2841&lt;=_TM2,OR(TH!L2841="1111",TH!M2841="1111")),TH!D2841,""),"")</f>
        <v/>
      </c>
      <c r="B2841" s="36">
        <f t="shared" si="160"/>
        <v>1</v>
      </c>
      <c r="C2841" s="37">
        <f t="shared" si="161"/>
        <v>40926</v>
      </c>
      <c r="D2841" s="37" t="s">
        <v>1738</v>
      </c>
      <c r="E2841" s="191">
        <v>40926</v>
      </c>
      <c r="F2841" s="40" t="s">
        <v>1519</v>
      </c>
      <c r="G2841" s="40" t="s">
        <v>1549</v>
      </c>
      <c r="H2841" s="7" t="s">
        <v>1706</v>
      </c>
      <c r="I2841" s="252">
        <v>75</v>
      </c>
      <c r="J2841" s="252">
        <v>16027.151601742615</v>
      </c>
      <c r="K2841" s="38">
        <f t="shared" si="162"/>
        <v>1202036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customHeight="1">
      <c r="A2842" s="204" t="str">
        <f>IF(B2842&lt;&gt;"",IF(AND(B2842&gt;=_TM1,B2842&lt;=_TM2,OR(TH!L2842="1111",TH!M2842="1111")),TH!D2842,""),"")</f>
        <v/>
      </c>
      <c r="B2842" s="36">
        <f t="shared" si="160"/>
        <v>1</v>
      </c>
      <c r="C2842" s="37">
        <f t="shared" si="161"/>
        <v>40938</v>
      </c>
      <c r="D2842" s="37" t="s">
        <v>1738</v>
      </c>
      <c r="E2842" s="191">
        <v>40938</v>
      </c>
      <c r="F2842" s="40" t="s">
        <v>1496</v>
      </c>
      <c r="G2842" s="40" t="s">
        <v>1551</v>
      </c>
      <c r="H2842" s="7" t="s">
        <v>1706</v>
      </c>
      <c r="I2842" s="252">
        <v>210</v>
      </c>
      <c r="J2842" s="252">
        <v>10443.018268409285</v>
      </c>
      <c r="K2842" s="38">
        <f t="shared" si="162"/>
        <v>2193034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customHeight="1">
      <c r="A2843" s="204" t="str">
        <f>IF(B2843&lt;&gt;"",IF(AND(B2843&gt;=_TM1,B2843&lt;=_TM2,OR(TH!L2843="1111",TH!M2843="1111")),TH!D2843,""),"")</f>
        <v/>
      </c>
      <c r="B2843" s="36">
        <f t="shared" si="160"/>
        <v>1</v>
      </c>
      <c r="C2843" s="37">
        <f t="shared" si="161"/>
        <v>40938</v>
      </c>
      <c r="D2843" s="37" t="s">
        <v>1738</v>
      </c>
      <c r="E2843" s="191">
        <v>40938</v>
      </c>
      <c r="F2843" s="40" t="s">
        <v>1555</v>
      </c>
      <c r="G2843" s="40" t="s">
        <v>1551</v>
      </c>
      <c r="H2843" s="7" t="s">
        <v>1706</v>
      </c>
      <c r="I2843" s="252">
        <v>80</v>
      </c>
      <c r="J2843" s="252">
        <v>8364.0182684092852</v>
      </c>
      <c r="K2843" s="38">
        <f t="shared" si="162"/>
        <v>669121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customHeight="1">
      <c r="A2844" s="204" t="str">
        <f>IF(B2844&lt;&gt;"",IF(AND(B2844&gt;=_TM1,B2844&lt;=_TM2,OR(TH!L2844="1111",TH!M2844="1111")),TH!D2844,""),"")</f>
        <v/>
      </c>
      <c r="B2844" s="36">
        <f t="shared" si="160"/>
        <v>1</v>
      </c>
      <c r="C2844" s="37">
        <f t="shared" si="161"/>
        <v>40938</v>
      </c>
      <c r="D2844" s="37" t="s">
        <v>1738</v>
      </c>
      <c r="E2844" s="191">
        <v>40938</v>
      </c>
      <c r="F2844" s="40" t="s">
        <v>1526</v>
      </c>
      <c r="G2844" s="40" t="s">
        <v>1551</v>
      </c>
      <c r="H2844" s="7" t="s">
        <v>1706</v>
      </c>
      <c r="I2844" s="252">
        <v>210</v>
      </c>
      <c r="J2844" s="252">
        <v>13890.161125552142</v>
      </c>
      <c r="K2844" s="38">
        <f t="shared" si="162"/>
        <v>2916934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customHeight="1">
      <c r="A2845" s="204" t="str">
        <f>IF(B2845&lt;&gt;"",IF(AND(B2845&gt;=_TM1,B2845&lt;=_TM2,OR(TH!L2845="1111",TH!M2845="1111")),TH!D2845,""),"")</f>
        <v/>
      </c>
      <c r="B2845" s="36">
        <f t="shared" si="160"/>
        <v>1</v>
      </c>
      <c r="C2845" s="37">
        <f t="shared" si="161"/>
        <v>40938</v>
      </c>
      <c r="D2845" s="37" t="s">
        <v>1738</v>
      </c>
      <c r="E2845" s="191">
        <v>40938</v>
      </c>
      <c r="F2845" s="40" t="s">
        <v>1522</v>
      </c>
      <c r="G2845" s="40" t="s">
        <v>1551</v>
      </c>
      <c r="H2845" s="7" t="s">
        <v>1706</v>
      </c>
      <c r="I2845" s="252">
        <v>230</v>
      </c>
      <c r="J2845" s="252">
        <v>18024.105224931027</v>
      </c>
      <c r="K2845" s="38">
        <f t="shared" si="162"/>
        <v>4145544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customHeight="1">
      <c r="A2846" s="204" t="str">
        <f>IF(B2846&lt;&gt;"",IF(AND(B2846&gt;=_TM1,B2846&lt;=_TM2,OR(TH!L2846="1111",TH!M2846="1111")),TH!D2846,""),"")</f>
        <v/>
      </c>
      <c r="B2846" s="36">
        <f t="shared" si="160"/>
        <v>1</v>
      </c>
      <c r="C2846" s="37">
        <f t="shared" si="161"/>
        <v>40938</v>
      </c>
      <c r="D2846" s="37" t="s">
        <v>1738</v>
      </c>
      <c r="E2846" s="191">
        <v>40938</v>
      </c>
      <c r="F2846" s="40" t="s">
        <v>1516</v>
      </c>
      <c r="G2846" s="40" t="s">
        <v>1551</v>
      </c>
      <c r="H2846" s="7" t="s">
        <v>1706</v>
      </c>
      <c r="I2846" s="252">
        <v>310</v>
      </c>
      <c r="J2846" s="252">
        <v>17843.218268409284</v>
      </c>
      <c r="K2846" s="38">
        <f t="shared" si="162"/>
        <v>5531398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customHeight="1">
      <c r="A2847" s="204" t="str">
        <f>IF(B2847&lt;&gt;"",IF(AND(B2847&gt;=_TM1,B2847&lt;=_TM2,OR(TH!L2847="1111",TH!M2847="1111")),TH!D2847,""),"")</f>
        <v/>
      </c>
      <c r="B2847" s="36">
        <f t="shared" si="160"/>
        <v>1</v>
      </c>
      <c r="C2847" s="37">
        <f t="shared" si="161"/>
        <v>40938</v>
      </c>
      <c r="D2847" s="37" t="s">
        <v>1738</v>
      </c>
      <c r="E2847" s="191">
        <v>40938</v>
      </c>
      <c r="F2847" s="40" t="s">
        <v>1524</v>
      </c>
      <c r="G2847" s="40" t="s">
        <v>1551</v>
      </c>
      <c r="H2847" s="7" t="s">
        <v>1706</v>
      </c>
      <c r="I2847" s="252">
        <v>370</v>
      </c>
      <c r="J2847" s="252">
        <v>18380.720971111987</v>
      </c>
      <c r="K2847" s="38">
        <f t="shared" si="162"/>
        <v>6800867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customHeight="1">
      <c r="A2848" s="204" t="str">
        <f>IF(B2848&lt;&gt;"",IF(AND(B2848&gt;=_TM1,B2848&lt;=_TM2,OR(TH!L2848="1111",TH!M2848="1111")),TH!D2848,""),"")</f>
        <v/>
      </c>
      <c r="B2848" s="36">
        <f t="shared" si="160"/>
        <v>1</v>
      </c>
      <c r="C2848" s="37">
        <f t="shared" si="161"/>
        <v>40938</v>
      </c>
      <c r="D2848" s="37" t="s">
        <v>1738</v>
      </c>
      <c r="E2848" s="191">
        <v>40938</v>
      </c>
      <c r="F2848" s="40" t="s">
        <v>1498</v>
      </c>
      <c r="G2848" s="40" t="s">
        <v>1551</v>
      </c>
      <c r="H2848" s="7" t="s">
        <v>1706</v>
      </c>
      <c r="I2848" s="252">
        <v>173</v>
      </c>
      <c r="J2848" s="252">
        <v>8330.0413897965682</v>
      </c>
      <c r="K2848" s="38">
        <f t="shared" si="162"/>
        <v>1441097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customHeight="1">
      <c r="A2849" s="204" t="str">
        <f>IF(B2849&lt;&gt;"",IF(AND(B2849&gt;=_TM1,B2849&lt;=_TM2,OR(TH!L2849="1111",TH!M2849="1111")),TH!D2849,""),"")</f>
        <v/>
      </c>
      <c r="B2849" s="36">
        <f t="shared" si="160"/>
        <v>1</v>
      </c>
      <c r="C2849" s="37">
        <f t="shared" si="161"/>
        <v>40938</v>
      </c>
      <c r="D2849" s="37" t="s">
        <v>1738</v>
      </c>
      <c r="E2849" s="191">
        <v>40938</v>
      </c>
      <c r="F2849" s="40" t="s">
        <v>1509</v>
      </c>
      <c r="G2849" s="40" t="s">
        <v>1551</v>
      </c>
      <c r="H2849" s="7" t="s">
        <v>1706</v>
      </c>
      <c r="I2849" s="252">
        <v>150</v>
      </c>
      <c r="J2849" s="252">
        <v>9692.684935075953</v>
      </c>
      <c r="K2849" s="38">
        <f t="shared" si="162"/>
        <v>1453903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customHeight="1">
      <c r="A2850" s="204" t="str">
        <f>IF(B2850&lt;&gt;"",IF(AND(B2850&gt;=_TM1,B2850&lt;=_TM2,OR(TH!L2850="1111",TH!M2850="1111")),TH!D2850,""),"")</f>
        <v/>
      </c>
      <c r="B2850" s="36">
        <f t="shared" si="160"/>
        <v>1</v>
      </c>
      <c r="C2850" s="37">
        <f t="shared" si="161"/>
        <v>40938</v>
      </c>
      <c r="D2850" s="37" t="s">
        <v>1738</v>
      </c>
      <c r="E2850" s="191">
        <v>40938</v>
      </c>
      <c r="F2850" s="40" t="s">
        <v>1519</v>
      </c>
      <c r="G2850" s="40" t="s">
        <v>1551</v>
      </c>
      <c r="H2850" s="7" t="s">
        <v>1706</v>
      </c>
      <c r="I2850" s="252">
        <v>210</v>
      </c>
      <c r="J2850" s="252">
        <v>14835.161125552142</v>
      </c>
      <c r="K2850" s="38">
        <f t="shared" si="162"/>
        <v>3115384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customHeight="1">
      <c r="A2851" s="204" t="str">
        <f>IF(B2851&lt;&gt;"",IF(AND(B2851&gt;=_TM1,B2851&lt;=_TM2,OR(TH!L2851="1111",TH!M2851="1111")),TH!D2851,""),"")</f>
        <v/>
      </c>
      <c r="B2851" s="36">
        <f t="shared" si="160"/>
        <v>1</v>
      </c>
      <c r="C2851" s="37">
        <f t="shared" si="161"/>
        <v>40938</v>
      </c>
      <c r="D2851" s="37" t="s">
        <v>1738</v>
      </c>
      <c r="E2851" s="191">
        <v>40938</v>
      </c>
      <c r="F2851" s="40" t="s">
        <v>1516</v>
      </c>
      <c r="G2851" s="40" t="s">
        <v>1551</v>
      </c>
      <c r="H2851" s="7" t="s">
        <v>1706</v>
      </c>
      <c r="I2851" s="252">
        <v>250</v>
      </c>
      <c r="J2851" s="252">
        <v>16253.138268409284</v>
      </c>
      <c r="K2851" s="38">
        <f t="shared" si="162"/>
        <v>4063285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customHeight="1">
      <c r="A2852" s="204" t="str">
        <f>IF(B2852&lt;&gt;"",IF(AND(B2852&gt;=_TM1,B2852&lt;=_TM2,OR(TH!L2852="1111",TH!M2852="1111")),TH!D2852,""),"")</f>
        <v/>
      </c>
      <c r="B2852" s="36">
        <f t="shared" si="160"/>
        <v>1</v>
      </c>
      <c r="C2852" s="37">
        <f t="shared" si="161"/>
        <v>40939</v>
      </c>
      <c r="D2852" s="37" t="s">
        <v>1738</v>
      </c>
      <c r="E2852" s="191">
        <v>40939</v>
      </c>
      <c r="F2852" s="40" t="s">
        <v>1498</v>
      </c>
      <c r="G2852" s="40" t="s">
        <v>1552</v>
      </c>
      <c r="H2852" s="7" t="s">
        <v>1706</v>
      </c>
      <c r="I2852" s="252">
        <v>130</v>
      </c>
      <c r="J2852" s="252">
        <v>12214.095191486209</v>
      </c>
      <c r="K2852" s="38">
        <f t="shared" si="162"/>
        <v>1587832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customHeight="1">
      <c r="A2853" s="204" t="str">
        <f>IF(B2853&lt;&gt;"",IF(AND(B2853&gt;=_TM1,B2853&lt;=_TM2,OR(TH!L2853="1111",TH!M2853="1111")),TH!D2853,""),"")</f>
        <v/>
      </c>
      <c r="B2853" s="36">
        <f t="shared" si="160"/>
        <v>1</v>
      </c>
      <c r="C2853" s="37">
        <f t="shared" si="161"/>
        <v>40939</v>
      </c>
      <c r="D2853" s="37" t="s">
        <v>1738</v>
      </c>
      <c r="E2853" s="191">
        <v>40939</v>
      </c>
      <c r="F2853" s="40" t="s">
        <v>1556</v>
      </c>
      <c r="G2853" s="40" t="s">
        <v>1552</v>
      </c>
      <c r="H2853" s="7" t="s">
        <v>1706</v>
      </c>
      <c r="I2853" s="252">
        <v>12</v>
      </c>
      <c r="J2853" s="252">
        <v>15252.684935075951</v>
      </c>
      <c r="K2853" s="38">
        <f t="shared" si="162"/>
        <v>183032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customHeight="1">
      <c r="A2854" s="204" t="str">
        <f>IF(B2854&lt;&gt;"",IF(AND(B2854&gt;=_TM1,B2854&lt;=_TM2,OR(TH!L2854="1111",TH!M2854="1111")),TH!D2854,""),"")</f>
        <v/>
      </c>
      <c r="B2854" s="36">
        <f t="shared" si="160"/>
        <v>1</v>
      </c>
      <c r="C2854" s="37">
        <f t="shared" si="161"/>
        <v>40939</v>
      </c>
      <c r="D2854" s="37" t="s">
        <v>1738</v>
      </c>
      <c r="E2854" s="191">
        <v>40939</v>
      </c>
      <c r="F2854" s="40" t="s">
        <v>1550</v>
      </c>
      <c r="G2854" s="40" t="s">
        <v>1552</v>
      </c>
      <c r="H2854" s="7" t="s">
        <v>1706</v>
      </c>
      <c r="I2854" s="252">
        <v>140</v>
      </c>
      <c r="J2854" s="252">
        <v>16482.975411266427</v>
      </c>
      <c r="K2854" s="38">
        <f t="shared" si="162"/>
        <v>2307617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customHeight="1">
      <c r="A2855" s="204" t="str">
        <f>IF(B2855&lt;&gt;"",IF(AND(B2855&gt;=_TM1,B2855&lt;=_TM2,OR(TH!L2855="1111",TH!M2855="1111")),TH!D2855,""),"")</f>
        <v/>
      </c>
      <c r="B2855" s="36">
        <f t="shared" si="160"/>
        <v>1</v>
      </c>
      <c r="C2855" s="37">
        <f t="shared" si="161"/>
        <v>40939</v>
      </c>
      <c r="D2855" s="37" t="s">
        <v>1738</v>
      </c>
      <c r="E2855" s="191">
        <v>40939</v>
      </c>
      <c r="F2855" s="40" t="s">
        <v>1516</v>
      </c>
      <c r="G2855" s="40" t="s">
        <v>1552</v>
      </c>
      <c r="H2855" s="7" t="s">
        <v>1706</v>
      </c>
      <c r="I2855" s="252">
        <v>180</v>
      </c>
      <c r="J2855" s="252">
        <v>19539.684935075951</v>
      </c>
      <c r="K2855" s="38">
        <f t="shared" si="162"/>
        <v>3517143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customHeight="1">
      <c r="A2856" s="204" t="str">
        <f>IF(B2856&lt;&gt;"",IF(AND(B2856&gt;=_TM1,B2856&lt;=_TM2,OR(TH!L2856="1111",TH!M2856="1111")),TH!D2856,""),"")</f>
        <v/>
      </c>
      <c r="B2856" s="36">
        <f t="shared" si="160"/>
        <v>1</v>
      </c>
      <c r="C2856" s="37">
        <f t="shared" si="161"/>
        <v>40939</v>
      </c>
      <c r="D2856" s="37" t="s">
        <v>1738</v>
      </c>
      <c r="E2856" s="191">
        <v>40939</v>
      </c>
      <c r="F2856" s="40" t="s">
        <v>1517</v>
      </c>
      <c r="G2856" s="40" t="s">
        <v>1552</v>
      </c>
      <c r="H2856" s="7" t="s">
        <v>1706</v>
      </c>
      <c r="I2856" s="252">
        <v>310</v>
      </c>
      <c r="J2856" s="252">
        <v>18324.469881312511</v>
      </c>
      <c r="K2856" s="38">
        <f t="shared" si="162"/>
        <v>5680586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customHeight="1">
      <c r="A2857" s="204" t="str">
        <f>IF(B2857&lt;&gt;"",IF(AND(B2857&gt;=_TM1,B2857&lt;=_TM2,OR(TH!L2857="1111",TH!M2857="1111")),TH!D2857,""),"")</f>
        <v/>
      </c>
      <c r="B2857" s="36">
        <f t="shared" si="160"/>
        <v>1</v>
      </c>
      <c r="C2857" s="37">
        <f t="shared" si="161"/>
        <v>40939</v>
      </c>
      <c r="D2857" s="37" t="s">
        <v>1738</v>
      </c>
      <c r="E2857" s="191">
        <v>40939</v>
      </c>
      <c r="F2857" s="40" t="s">
        <v>1526</v>
      </c>
      <c r="G2857" s="40" t="s">
        <v>1552</v>
      </c>
      <c r="H2857" s="7" t="s">
        <v>1706</v>
      </c>
      <c r="I2857" s="252">
        <v>160</v>
      </c>
      <c r="J2857" s="252">
        <v>10034.268268409285</v>
      </c>
      <c r="K2857" s="38">
        <f t="shared" si="162"/>
        <v>1605483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customHeight="1">
      <c r="A2858" s="204" t="str">
        <f>IF(B2858&lt;&gt;"",IF(AND(B2858&gt;=_TM1,B2858&lt;=_TM2,OR(TH!L2858="1111",TH!M2858="1111")),TH!D2858,""),"")</f>
        <v/>
      </c>
      <c r="B2858" s="36">
        <f t="shared" si="160"/>
        <v>1</v>
      </c>
      <c r="C2858" s="37">
        <f t="shared" si="161"/>
        <v>40939</v>
      </c>
      <c r="D2858" s="37" t="s">
        <v>1738</v>
      </c>
      <c r="E2858" s="191">
        <v>40939</v>
      </c>
      <c r="F2858" s="40" t="s">
        <v>1522</v>
      </c>
      <c r="G2858" s="40" t="s">
        <v>1552</v>
      </c>
      <c r="H2858" s="7" t="s">
        <v>1706</v>
      </c>
      <c r="I2858" s="252">
        <v>270</v>
      </c>
      <c r="J2858" s="252">
        <v>16730.573823964842</v>
      </c>
      <c r="K2858" s="38">
        <f t="shared" si="162"/>
        <v>4517255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customHeight="1">
      <c r="A2859" s="204" t="str">
        <f>IF(B2859&lt;&gt;"",IF(AND(B2859&gt;=_TM1,B2859&lt;=_TM2,OR(TH!L2859="1111",TH!M2859="1111")),TH!D2859,""),"")</f>
        <v/>
      </c>
      <c r="B2859" s="36">
        <f t="shared" si="160"/>
        <v>1</v>
      </c>
      <c r="C2859" s="37">
        <f t="shared" si="161"/>
        <v>40939</v>
      </c>
      <c r="D2859" s="37" t="s">
        <v>1738</v>
      </c>
      <c r="E2859" s="191">
        <v>40939</v>
      </c>
      <c r="F2859" s="40" t="s">
        <v>1516</v>
      </c>
      <c r="G2859" s="40" t="s">
        <v>1552</v>
      </c>
      <c r="H2859" s="7" t="s">
        <v>1706</v>
      </c>
      <c r="I2859" s="252">
        <v>151</v>
      </c>
      <c r="J2859" s="252">
        <v>16471.932175694055</v>
      </c>
      <c r="K2859" s="38">
        <f t="shared" si="162"/>
        <v>2487262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customHeight="1">
      <c r="A2860" s="204" t="str">
        <f>IF(B2860&lt;&gt;"",IF(AND(B2860&gt;=_TM1,B2860&lt;=_TM2,OR(TH!L2860="1111",TH!M2860="1111")),TH!D2860,""),"")</f>
        <v/>
      </c>
      <c r="B2860" s="36">
        <f t="shared" si="160"/>
        <v>1</v>
      </c>
      <c r="C2860" s="37">
        <f t="shared" si="161"/>
        <v>40939</v>
      </c>
      <c r="D2860" s="37" t="s">
        <v>1738</v>
      </c>
      <c r="E2860" s="191">
        <v>40939</v>
      </c>
      <c r="F2860" s="40" t="s">
        <v>1524</v>
      </c>
      <c r="G2860" s="40" t="s">
        <v>1552</v>
      </c>
      <c r="H2860" s="7" t="s">
        <v>1706</v>
      </c>
      <c r="I2860" s="252">
        <v>60</v>
      </c>
      <c r="J2860" s="252">
        <v>19032.184935075951</v>
      </c>
      <c r="K2860" s="38">
        <f t="shared" si="162"/>
        <v>1141931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customHeight="1">
      <c r="A2861" s="204" t="str">
        <f>IF(B2861&lt;&gt;"",IF(AND(B2861&gt;=_TM1,B2861&lt;=_TM2,OR(TH!L2861="1111",TH!M2861="1111")),TH!D2861,""),"")</f>
        <v/>
      </c>
      <c r="B2861" s="36">
        <f t="shared" si="160"/>
        <v>1</v>
      </c>
      <c r="C2861" s="37">
        <f t="shared" si="161"/>
        <v>40939</v>
      </c>
      <c r="D2861" s="37" t="s">
        <v>1738</v>
      </c>
      <c r="E2861" s="191">
        <v>40939</v>
      </c>
      <c r="F2861" s="40" t="s">
        <v>1498</v>
      </c>
      <c r="G2861" s="40" t="s">
        <v>1552</v>
      </c>
      <c r="H2861" s="7" t="s">
        <v>1706</v>
      </c>
      <c r="I2861" s="252">
        <v>150</v>
      </c>
      <c r="J2861" s="252">
        <v>12113.751601742619</v>
      </c>
      <c r="K2861" s="38">
        <f t="shared" si="162"/>
        <v>1817063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customHeight="1">
      <c r="A2862" s="204" t="str">
        <f>IF(B2862&lt;&gt;"",IF(AND(B2862&gt;=_TM1,B2862&lt;=_TM2,OR(TH!L2862="1111",TH!M2862="1111")),TH!D2862,""),"")</f>
        <v/>
      </c>
      <c r="B2862" s="36">
        <f t="shared" si="160"/>
        <v>2</v>
      </c>
      <c r="C2862" s="37">
        <f t="shared" si="161"/>
        <v>40946</v>
      </c>
      <c r="D2862" s="37" t="s">
        <v>1738</v>
      </c>
      <c r="E2862" s="191">
        <v>40946</v>
      </c>
      <c r="F2862" s="40" t="s">
        <v>1234</v>
      </c>
      <c r="G2862" s="40" t="s">
        <v>932</v>
      </c>
      <c r="H2862" s="7" t="s">
        <v>1706</v>
      </c>
      <c r="I2862" s="252">
        <v>600</v>
      </c>
      <c r="J2862" s="252">
        <v>18873.07326840928</v>
      </c>
      <c r="K2862" s="38">
        <f t="shared" si="162"/>
        <v>11323844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customHeight="1">
      <c r="A2863" s="204" t="str">
        <f>IF(B2863&lt;&gt;"",IF(AND(B2863&gt;=_TM1,B2863&lt;=_TM2,OR(TH!L2863="1111",TH!M2863="1111")),TH!D2863,""),"")</f>
        <v/>
      </c>
      <c r="B2863" s="36">
        <f t="shared" si="160"/>
        <v>2</v>
      </c>
      <c r="C2863" s="37">
        <f t="shared" si="161"/>
        <v>40946</v>
      </c>
      <c r="D2863" s="37" t="s">
        <v>1738</v>
      </c>
      <c r="E2863" s="191">
        <v>40946</v>
      </c>
      <c r="F2863" s="40" t="s">
        <v>1206</v>
      </c>
      <c r="G2863" s="40" t="s">
        <v>932</v>
      </c>
      <c r="H2863" s="7" t="s">
        <v>1706</v>
      </c>
      <c r="I2863" s="252">
        <v>200</v>
      </c>
      <c r="J2863" s="252">
        <v>12561.018268409283</v>
      </c>
      <c r="K2863" s="38">
        <f t="shared" si="162"/>
        <v>2512204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customHeight="1">
      <c r="A2864" s="204" t="str">
        <f>IF(B2864&lt;&gt;"",IF(AND(B2864&gt;=_TM1,B2864&lt;=_TM2,OR(TH!L2864="1111",TH!M2864="1111")),TH!D2864,""),"")</f>
        <v/>
      </c>
      <c r="B2864" s="36">
        <f t="shared" si="160"/>
        <v>2</v>
      </c>
      <c r="C2864" s="37">
        <f t="shared" ref="C2864:C2927" si="163">E2864</f>
        <v>40946</v>
      </c>
      <c r="D2864" s="37" t="s">
        <v>1738</v>
      </c>
      <c r="E2864" s="191">
        <v>40946</v>
      </c>
      <c r="F2864" s="40" t="s">
        <v>1233</v>
      </c>
      <c r="G2864" s="40" t="s">
        <v>932</v>
      </c>
      <c r="H2864" s="7" t="s">
        <v>1706</v>
      </c>
      <c r="I2864" s="252">
        <v>300</v>
      </c>
      <c r="J2864" s="252">
        <v>21933.01826840928</v>
      </c>
      <c r="K2864" s="38">
        <f t="shared" ref="K2864:K2927" si="164">ROUND(I2864*J2864,0)</f>
        <v>6579905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customHeight="1">
      <c r="A2865" s="204" t="str">
        <f>IF(B2865&lt;&gt;"",IF(AND(B2865&gt;=_TM1,B2865&lt;=_TM2,OR(TH!L2865="1111",TH!M2865="1111")),TH!D2865,""),"")</f>
        <v/>
      </c>
      <c r="B2865" s="36">
        <f t="shared" si="160"/>
        <v>2</v>
      </c>
      <c r="C2865" s="37">
        <f t="shared" si="163"/>
        <v>40946</v>
      </c>
      <c r="D2865" s="37" t="s">
        <v>1738</v>
      </c>
      <c r="E2865" s="191">
        <v>40946</v>
      </c>
      <c r="F2865" s="40" t="s">
        <v>933</v>
      </c>
      <c r="G2865" s="40" t="s">
        <v>932</v>
      </c>
      <c r="H2865" s="7" t="s">
        <v>1706</v>
      </c>
      <c r="I2865" s="252">
        <v>900</v>
      </c>
      <c r="J2865" s="252">
        <v>1872.8627128537294</v>
      </c>
      <c r="K2865" s="38">
        <f t="shared" si="164"/>
        <v>1685576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customHeight="1">
      <c r="A2866" s="204" t="str">
        <f>IF(B2866&lt;&gt;"",IF(AND(B2866&gt;=_TM1,B2866&lt;=_TM2,OR(TH!L2866="1111",TH!M2866="1111")),TH!D2866,""),"")</f>
        <v/>
      </c>
      <c r="B2866" s="36">
        <f t="shared" si="160"/>
        <v>2</v>
      </c>
      <c r="C2866" s="37">
        <f t="shared" si="163"/>
        <v>40946</v>
      </c>
      <c r="D2866" s="37" t="s">
        <v>1738</v>
      </c>
      <c r="E2866" s="191">
        <v>40946</v>
      </c>
      <c r="F2866" s="40" t="s">
        <v>934</v>
      </c>
      <c r="G2866" s="40" t="s">
        <v>932</v>
      </c>
      <c r="H2866" s="7" t="s">
        <v>1706</v>
      </c>
      <c r="I2866" s="252">
        <v>900</v>
      </c>
      <c r="J2866" s="252">
        <v>1872.8627128537294</v>
      </c>
      <c r="K2866" s="38">
        <f t="shared" si="164"/>
        <v>1685576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customHeight="1">
      <c r="A2867" s="204" t="str">
        <f>IF(B2867&lt;&gt;"",IF(AND(B2867&gt;=_TM1,B2867&lt;=_TM2,OR(TH!L2867="1111",TH!M2867="1111")),TH!D2867,""),"")</f>
        <v/>
      </c>
      <c r="B2867" s="36">
        <f t="shared" si="160"/>
        <v>2</v>
      </c>
      <c r="C2867" s="37">
        <f t="shared" si="163"/>
        <v>40953</v>
      </c>
      <c r="D2867" s="37" t="s">
        <v>1738</v>
      </c>
      <c r="E2867" s="191">
        <v>40953</v>
      </c>
      <c r="F2867" s="40" t="s">
        <v>935</v>
      </c>
      <c r="G2867" s="40" t="s">
        <v>936</v>
      </c>
      <c r="H2867" s="7" t="s">
        <v>1706</v>
      </c>
      <c r="I2867" s="252">
        <v>498</v>
      </c>
      <c r="J2867" s="252">
        <v>7317.0945736301683</v>
      </c>
      <c r="K2867" s="38">
        <f t="shared" si="164"/>
        <v>3643913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customHeight="1">
      <c r="A2868" s="204" t="str">
        <f>IF(B2868&lt;&gt;"",IF(AND(B2868&gt;=_TM1,B2868&lt;=_TM2,OR(TH!L2868="1111",TH!M2868="1111")),TH!D2868,""),"")</f>
        <v/>
      </c>
      <c r="B2868" s="36">
        <f t="shared" si="160"/>
        <v>2</v>
      </c>
      <c r="C2868" s="37">
        <f t="shared" si="163"/>
        <v>40953</v>
      </c>
      <c r="D2868" s="37" t="s">
        <v>1738</v>
      </c>
      <c r="E2868" s="191">
        <v>40953</v>
      </c>
      <c r="F2868" s="40" t="s">
        <v>1157</v>
      </c>
      <c r="G2868" s="40" t="s">
        <v>1553</v>
      </c>
      <c r="H2868" s="7" t="s">
        <v>1706</v>
      </c>
      <c r="I2868" s="252">
        <v>850</v>
      </c>
      <c r="J2868" s="252">
        <v>9685.4865037034033</v>
      </c>
      <c r="K2868" s="38">
        <f t="shared" si="164"/>
        <v>8232664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customHeight="1">
      <c r="A2869" s="204" t="str">
        <f>IF(B2869&lt;&gt;"",IF(AND(B2869&gt;=_TM1,B2869&lt;=_TM2,OR(TH!L2869="1111",TH!M2869="1111")),TH!D2869,""),"")</f>
        <v/>
      </c>
      <c r="B2869" s="36">
        <f t="shared" si="160"/>
        <v>2</v>
      </c>
      <c r="C2869" s="37">
        <f t="shared" si="163"/>
        <v>40956</v>
      </c>
      <c r="D2869" s="37" t="s">
        <v>1738</v>
      </c>
      <c r="E2869" s="191">
        <v>40956</v>
      </c>
      <c r="F2869" s="40" t="s">
        <v>551</v>
      </c>
      <c r="G2869" s="40" t="s">
        <v>937</v>
      </c>
      <c r="H2869" s="7" t="s">
        <v>1706</v>
      </c>
      <c r="I2869" s="252">
        <v>500</v>
      </c>
      <c r="J2869" s="252">
        <v>10093.038268409284</v>
      </c>
      <c r="K2869" s="38">
        <f t="shared" si="164"/>
        <v>5046519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customHeight="1">
      <c r="A2870" s="204" t="str">
        <f>IF(B2870&lt;&gt;"",IF(AND(B2870&gt;=_TM1,B2870&lt;=_TM2,OR(TH!L2870="1111",TH!M2870="1111")),TH!D2870,""),"")</f>
        <v/>
      </c>
      <c r="B2870" s="36">
        <f t="shared" si="160"/>
        <v>2</v>
      </c>
      <c r="C2870" s="37">
        <f t="shared" si="163"/>
        <v>40959</v>
      </c>
      <c r="D2870" s="37" t="s">
        <v>1738</v>
      </c>
      <c r="E2870" s="191">
        <v>40959</v>
      </c>
      <c r="F2870" s="40" t="s">
        <v>1157</v>
      </c>
      <c r="G2870" s="40" t="s">
        <v>1554</v>
      </c>
      <c r="H2870" s="7" t="s">
        <v>1706</v>
      </c>
      <c r="I2870" s="252">
        <v>930</v>
      </c>
      <c r="J2870" s="252">
        <v>9381.2483759361676</v>
      </c>
      <c r="K2870" s="38">
        <f t="shared" si="164"/>
        <v>8724561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customHeight="1">
      <c r="A2871" s="204" t="str">
        <f>IF(B2871&lt;&gt;"",IF(AND(B2871&gt;=_TM1,B2871&lt;=_TM2,OR(TH!L2871="1111",TH!M2871="1111")),TH!D2871,""),"")</f>
        <v/>
      </c>
      <c r="B2871" s="36">
        <f t="shared" si="160"/>
        <v>2</v>
      </c>
      <c r="C2871" s="37">
        <f t="shared" si="163"/>
        <v>40959</v>
      </c>
      <c r="D2871" s="37" t="s">
        <v>1738</v>
      </c>
      <c r="E2871" s="191">
        <v>40959</v>
      </c>
      <c r="F2871" s="40" t="s">
        <v>1557</v>
      </c>
      <c r="G2871" s="40" t="s">
        <v>1554</v>
      </c>
      <c r="H2871" s="7" t="s">
        <v>1706</v>
      </c>
      <c r="I2871" s="252">
        <v>990</v>
      </c>
      <c r="J2871" s="252">
        <v>17296.656652247668</v>
      </c>
      <c r="K2871" s="38">
        <f t="shared" si="164"/>
        <v>17123690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customHeight="1">
      <c r="A2872" s="204" t="str">
        <f>IF(B2872&lt;&gt;"",IF(AND(B2872&gt;=_TM1,B2872&lt;=_TM2,OR(TH!L2872="1111",TH!M2872="1111")),TH!D2872,""),"")</f>
        <v/>
      </c>
      <c r="B2872" s="36">
        <f t="shared" si="160"/>
        <v>2</v>
      </c>
      <c r="C2872" s="37">
        <f t="shared" si="163"/>
        <v>40962</v>
      </c>
      <c r="D2872" s="37" t="s">
        <v>1738</v>
      </c>
      <c r="E2872" s="191">
        <v>40962</v>
      </c>
      <c r="F2872" s="40" t="s">
        <v>1490</v>
      </c>
      <c r="G2872" s="40" t="s">
        <v>938</v>
      </c>
      <c r="H2872" s="7" t="s">
        <v>1706</v>
      </c>
      <c r="I2872" s="252">
        <v>100</v>
      </c>
      <c r="J2872" s="252">
        <v>16353.268268409283</v>
      </c>
      <c r="K2872" s="38">
        <f t="shared" si="164"/>
        <v>1635327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customHeight="1">
      <c r="A2873" s="204" t="str">
        <f>IF(B2873&lt;&gt;"",IF(AND(B2873&gt;=_TM1,B2873&lt;=_TM2,OR(TH!L2873="1111",TH!M2873="1111")),TH!D2873,""),"")</f>
        <v/>
      </c>
      <c r="B2873" s="36">
        <f t="shared" si="160"/>
        <v>2</v>
      </c>
      <c r="C2873" s="37">
        <f t="shared" si="163"/>
        <v>40963</v>
      </c>
      <c r="D2873" s="37" t="s">
        <v>1738</v>
      </c>
      <c r="E2873" s="191">
        <v>40963</v>
      </c>
      <c r="F2873" s="40" t="s">
        <v>1559</v>
      </c>
      <c r="G2873" s="40" t="s">
        <v>1558</v>
      </c>
      <c r="H2873" s="7" t="s">
        <v>1706</v>
      </c>
      <c r="I2873" s="252">
        <v>200</v>
      </c>
      <c r="J2873" s="252">
        <v>11030.158268409283</v>
      </c>
      <c r="K2873" s="38">
        <f t="shared" si="164"/>
        <v>2206032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customHeight="1">
      <c r="A2874" s="204" t="str">
        <f>IF(B2874&lt;&gt;"",IF(AND(B2874&gt;=_TM1,B2874&lt;=_TM2,OR(TH!L2874="1111",TH!M2874="1111")),TH!D2874,""),"")</f>
        <v/>
      </c>
      <c r="B2874" s="36">
        <f t="shared" si="160"/>
        <v>2</v>
      </c>
      <c r="C2874" s="37">
        <f t="shared" si="163"/>
        <v>40963</v>
      </c>
      <c r="D2874" s="37" t="s">
        <v>1738</v>
      </c>
      <c r="E2874" s="191">
        <v>40963</v>
      </c>
      <c r="F2874" s="40" t="s">
        <v>1560</v>
      </c>
      <c r="G2874" s="40" t="s">
        <v>1558</v>
      </c>
      <c r="H2874" s="7" t="s">
        <v>1706</v>
      </c>
      <c r="I2874" s="252">
        <v>200</v>
      </c>
      <c r="J2874" s="252">
        <v>2249.0182684092852</v>
      </c>
      <c r="K2874" s="38">
        <f t="shared" si="164"/>
        <v>449804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customHeight="1">
      <c r="A2875" s="204" t="str">
        <f>IF(B2875&lt;&gt;"",IF(AND(B2875&gt;=_TM1,B2875&lt;=_TM2,OR(TH!L2875="1111",TH!M2875="1111")),TH!D2875,""),"")</f>
        <v/>
      </c>
      <c r="B2875" s="36">
        <f t="shared" si="160"/>
        <v>2</v>
      </c>
      <c r="C2875" s="37">
        <f t="shared" si="163"/>
        <v>40965</v>
      </c>
      <c r="D2875" s="37" t="s">
        <v>1738</v>
      </c>
      <c r="E2875" s="191">
        <v>40965</v>
      </c>
      <c r="F2875" s="40" t="s">
        <v>1496</v>
      </c>
      <c r="G2875" s="40" t="s">
        <v>1495</v>
      </c>
      <c r="H2875" s="7" t="s">
        <v>1706</v>
      </c>
      <c r="I2875" s="252">
        <v>735</v>
      </c>
      <c r="J2875" s="252">
        <v>13590.4808534433</v>
      </c>
      <c r="K2875" s="38">
        <f t="shared" si="164"/>
        <v>9989003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customHeight="1">
      <c r="A2876" s="204" t="str">
        <f>IF(B2876&lt;&gt;"",IF(AND(B2876&gt;=_TM1,B2876&lt;=_TM2,OR(TH!L2876="1111",TH!M2876="1111")),TH!D2876,""),"")</f>
        <v/>
      </c>
      <c r="B2876" s="36">
        <f t="shared" si="160"/>
        <v>2</v>
      </c>
      <c r="C2876" s="37">
        <f t="shared" si="163"/>
        <v>40965</v>
      </c>
      <c r="D2876" s="37" t="s">
        <v>1738</v>
      </c>
      <c r="E2876" s="191">
        <v>40965</v>
      </c>
      <c r="F2876" s="40" t="s">
        <v>1497</v>
      </c>
      <c r="G2876" s="40" t="s">
        <v>1495</v>
      </c>
      <c r="H2876" s="7" t="s">
        <v>1706</v>
      </c>
      <c r="I2876" s="252">
        <v>2</v>
      </c>
      <c r="J2876" s="252">
        <v>5955.5182684092852</v>
      </c>
      <c r="K2876" s="38">
        <f t="shared" si="164"/>
        <v>11911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customHeight="1">
      <c r="A2877" s="204" t="str">
        <f>IF(B2877&lt;&gt;"",IF(AND(B2877&gt;=_TM1,B2877&lt;=_TM2,OR(TH!L2877="1111",TH!M2877="1111")),TH!D2877,""),"")</f>
        <v/>
      </c>
      <c r="B2877" s="36">
        <f t="shared" si="160"/>
        <v>2</v>
      </c>
      <c r="C2877" s="37">
        <f t="shared" si="163"/>
        <v>40965</v>
      </c>
      <c r="D2877" s="37" t="s">
        <v>1738</v>
      </c>
      <c r="E2877" s="191">
        <v>40965</v>
      </c>
      <c r="F2877" s="40" t="s">
        <v>1498</v>
      </c>
      <c r="G2877" s="40" t="s">
        <v>1495</v>
      </c>
      <c r="H2877" s="7" t="s">
        <v>1706</v>
      </c>
      <c r="I2877" s="252">
        <v>2</v>
      </c>
      <c r="J2877" s="252">
        <v>14509.018268409285</v>
      </c>
      <c r="K2877" s="38">
        <f t="shared" si="164"/>
        <v>29018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customHeight="1">
      <c r="A2878" s="204" t="str">
        <f>IF(B2878&lt;&gt;"",IF(AND(B2878&gt;=_TM1,B2878&lt;=_TM2,OR(TH!L2878="1111",TH!M2878="1111")),TH!D2878,""),"")</f>
        <v/>
      </c>
      <c r="B2878" s="36">
        <f t="shared" si="160"/>
        <v>2</v>
      </c>
      <c r="C2878" s="37">
        <f t="shared" si="163"/>
        <v>40965</v>
      </c>
      <c r="D2878" s="37" t="s">
        <v>1738</v>
      </c>
      <c r="E2878" s="191">
        <v>40965</v>
      </c>
      <c r="F2878" s="40" t="s">
        <v>1499</v>
      </c>
      <c r="G2878" s="40" t="s">
        <v>1495</v>
      </c>
      <c r="H2878" s="7" t="s">
        <v>1706</v>
      </c>
      <c r="I2878" s="252">
        <v>1</v>
      </c>
      <c r="J2878" s="252">
        <v>5956.0182684092852</v>
      </c>
      <c r="K2878" s="38">
        <f t="shared" si="164"/>
        <v>5956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customHeight="1">
      <c r="A2879" s="204" t="str">
        <f>IF(B2879&lt;&gt;"",IF(AND(B2879&gt;=_TM1,B2879&lt;=_TM2,OR(TH!L2879="1111",TH!M2879="1111")),TH!D2879,""),"")</f>
        <v/>
      </c>
      <c r="B2879" s="36">
        <f t="shared" si="160"/>
        <v>2</v>
      </c>
      <c r="C2879" s="37">
        <f t="shared" si="163"/>
        <v>40965</v>
      </c>
      <c r="D2879" s="37" t="s">
        <v>1738</v>
      </c>
      <c r="E2879" s="191">
        <v>40965</v>
      </c>
      <c r="F2879" s="40" t="s">
        <v>1500</v>
      </c>
      <c r="G2879" s="40" t="s">
        <v>1495</v>
      </c>
      <c r="H2879" s="7" t="s">
        <v>1706</v>
      </c>
      <c r="I2879" s="252">
        <v>1</v>
      </c>
      <c r="J2879" s="252">
        <v>10233.018268409285</v>
      </c>
      <c r="K2879" s="38">
        <f t="shared" si="164"/>
        <v>10233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customHeight="1">
      <c r="A2880" s="204" t="str">
        <f>IF(B2880&lt;&gt;"",IF(AND(B2880&gt;=_TM1,B2880&lt;=_TM2,OR(TH!L2880="1111",TH!M2880="1111")),TH!D2880,""),"")</f>
        <v/>
      </c>
      <c r="B2880" s="36">
        <f t="shared" si="160"/>
        <v>2</v>
      </c>
      <c r="C2880" s="37">
        <f t="shared" si="163"/>
        <v>40965</v>
      </c>
      <c r="D2880" s="37" t="s">
        <v>1738</v>
      </c>
      <c r="E2880" s="191">
        <v>40965</v>
      </c>
      <c r="F2880" s="40" t="s">
        <v>1501</v>
      </c>
      <c r="G2880" s="40" t="s">
        <v>1495</v>
      </c>
      <c r="H2880" s="7" t="s">
        <v>1706</v>
      </c>
      <c r="I2880" s="252">
        <v>1</v>
      </c>
      <c r="J2880" s="252">
        <v>5956.0182684092852</v>
      </c>
      <c r="K2880" s="38">
        <f t="shared" si="164"/>
        <v>5956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customHeight="1">
      <c r="A2881" s="204" t="str">
        <f>IF(B2881&lt;&gt;"",IF(AND(B2881&gt;=_TM1,B2881&lt;=_TM2,OR(TH!L2881="1111",TH!M2881="1111")),TH!D2881,""),"")</f>
        <v/>
      </c>
      <c r="B2881" s="36">
        <f t="shared" si="160"/>
        <v>2</v>
      </c>
      <c r="C2881" s="37">
        <f t="shared" si="163"/>
        <v>40965</v>
      </c>
      <c r="D2881" s="37" t="s">
        <v>1738</v>
      </c>
      <c r="E2881" s="191">
        <v>40965</v>
      </c>
      <c r="F2881" s="40" t="s">
        <v>1502</v>
      </c>
      <c r="G2881" s="40" t="s">
        <v>1495</v>
      </c>
      <c r="H2881" s="7" t="s">
        <v>1706</v>
      </c>
      <c r="I2881" s="252">
        <v>1</v>
      </c>
      <c r="J2881" s="252">
        <v>5956.0182684092852</v>
      </c>
      <c r="K2881" s="38">
        <f t="shared" si="164"/>
        <v>5956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customHeight="1">
      <c r="A2882" s="204" t="str">
        <f>IF(B2882&lt;&gt;"",IF(AND(B2882&gt;=_TM1,B2882&lt;=_TM2,OR(TH!L2882="1111",TH!M2882="1111")),TH!D2882,""),"")</f>
        <v/>
      </c>
      <c r="B2882" s="36">
        <f t="shared" si="160"/>
        <v>2</v>
      </c>
      <c r="C2882" s="37">
        <f t="shared" si="163"/>
        <v>40965</v>
      </c>
      <c r="D2882" s="37" t="s">
        <v>1738</v>
      </c>
      <c r="E2882" s="191">
        <v>40965</v>
      </c>
      <c r="F2882" s="40" t="s">
        <v>1503</v>
      </c>
      <c r="G2882" s="40" t="s">
        <v>1495</v>
      </c>
      <c r="H2882" s="7" t="s">
        <v>1706</v>
      </c>
      <c r="I2882" s="252">
        <v>1</v>
      </c>
      <c r="J2882" s="252">
        <v>5956.0182684092852</v>
      </c>
      <c r="K2882" s="38">
        <f t="shared" si="164"/>
        <v>5956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customHeight="1">
      <c r="A2883" s="204" t="str">
        <f>IF(B2883&lt;&gt;"",IF(AND(B2883&gt;=_TM1,B2883&lt;=_TM2,OR(TH!L2883="1111",TH!M2883="1111")),TH!D2883,""),"")</f>
        <v/>
      </c>
      <c r="B2883" s="36">
        <f t="shared" si="160"/>
        <v>2</v>
      </c>
      <c r="C2883" s="37">
        <f t="shared" si="163"/>
        <v>40965</v>
      </c>
      <c r="D2883" s="37" t="s">
        <v>1738</v>
      </c>
      <c r="E2883" s="191">
        <v>40965</v>
      </c>
      <c r="F2883" s="40" t="s">
        <v>1504</v>
      </c>
      <c r="G2883" s="40" t="s">
        <v>1495</v>
      </c>
      <c r="H2883" s="7" t="s">
        <v>1706</v>
      </c>
      <c r="I2883" s="252">
        <v>167</v>
      </c>
      <c r="J2883" s="252">
        <v>8708.0781486488067</v>
      </c>
      <c r="K2883" s="38">
        <f t="shared" si="164"/>
        <v>1454249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customHeight="1">
      <c r="A2884" s="204" t="str">
        <f>IF(B2884&lt;&gt;"",IF(AND(B2884&gt;=_TM1,B2884&lt;=_TM2,OR(TH!L2884="1111",TH!M2884="1111")),TH!D2884,""),"")</f>
        <v/>
      </c>
      <c r="B2884" s="36">
        <f t="shared" si="160"/>
        <v>2</v>
      </c>
      <c r="C2884" s="37">
        <f t="shared" si="163"/>
        <v>40965</v>
      </c>
      <c r="D2884" s="37" t="s">
        <v>1738</v>
      </c>
      <c r="E2884" s="191">
        <v>40965</v>
      </c>
      <c r="F2884" s="40" t="s">
        <v>1505</v>
      </c>
      <c r="G2884" s="40" t="s">
        <v>1495</v>
      </c>
      <c r="H2884" s="7" t="s">
        <v>1706</v>
      </c>
      <c r="I2884" s="252">
        <v>364</v>
      </c>
      <c r="J2884" s="252">
        <v>10107.345191486207</v>
      </c>
      <c r="K2884" s="38">
        <f t="shared" si="164"/>
        <v>3679074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customHeight="1">
      <c r="A2885" s="204" t="str">
        <f>IF(B2885&lt;&gt;"",IF(AND(B2885&gt;=_TM1,B2885&lt;=_TM2,OR(TH!L2885="1111",TH!M2885="1111")),TH!D2885,""),"")</f>
        <v/>
      </c>
      <c r="B2885" s="36">
        <f t="shared" si="160"/>
        <v>2</v>
      </c>
      <c r="C2885" s="37">
        <f t="shared" si="163"/>
        <v>40965</v>
      </c>
      <c r="D2885" s="37" t="s">
        <v>1738</v>
      </c>
      <c r="E2885" s="191">
        <v>40965</v>
      </c>
      <c r="F2885" s="40" t="s">
        <v>1506</v>
      </c>
      <c r="G2885" s="40" t="s">
        <v>1495</v>
      </c>
      <c r="H2885" s="7" t="s">
        <v>1706</v>
      </c>
      <c r="I2885" s="252">
        <v>420</v>
      </c>
      <c r="J2885" s="252">
        <v>11021.339696980713</v>
      </c>
      <c r="K2885" s="38">
        <f t="shared" si="164"/>
        <v>4628963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customHeight="1">
      <c r="A2886" s="204" t="str">
        <f>IF(B2886&lt;&gt;"",IF(AND(B2886&gt;=_TM1,B2886&lt;=_TM2,OR(TH!L2886="1111",TH!M2886="1111")),TH!D2886,""),"")</f>
        <v/>
      </c>
      <c r="B2886" s="36">
        <f t="shared" si="160"/>
        <v>2</v>
      </c>
      <c r="C2886" s="37">
        <f t="shared" si="163"/>
        <v>40965</v>
      </c>
      <c r="D2886" s="37" t="s">
        <v>1738</v>
      </c>
      <c r="E2886" s="191">
        <v>40965</v>
      </c>
      <c r="F2886" s="40" t="s">
        <v>1507</v>
      </c>
      <c r="G2886" s="40" t="s">
        <v>1495</v>
      </c>
      <c r="H2886" s="7" t="s">
        <v>1706</v>
      </c>
      <c r="I2886" s="252">
        <v>8</v>
      </c>
      <c r="J2886" s="252">
        <v>14708.518268409285</v>
      </c>
      <c r="K2886" s="38">
        <f t="shared" si="164"/>
        <v>117668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customHeight="1">
      <c r="A2887" s="204" t="str">
        <f>IF(B2887&lt;&gt;"",IF(AND(B2887&gt;=_TM1,B2887&lt;=_TM2,OR(TH!L2887="1111",TH!M2887="1111")),TH!D2887,""),"")</f>
        <v/>
      </c>
      <c r="B2887" s="36">
        <f t="shared" si="160"/>
        <v>2</v>
      </c>
      <c r="C2887" s="37">
        <f t="shared" si="163"/>
        <v>40965</v>
      </c>
      <c r="D2887" s="37" t="s">
        <v>1738</v>
      </c>
      <c r="E2887" s="191">
        <v>40965</v>
      </c>
      <c r="F2887" s="40" t="s">
        <v>1508</v>
      </c>
      <c r="G2887" s="40" t="s">
        <v>1495</v>
      </c>
      <c r="H2887" s="7" t="s">
        <v>1706</v>
      </c>
      <c r="I2887" s="252">
        <v>10</v>
      </c>
      <c r="J2887" s="252">
        <v>10233.018268409285</v>
      </c>
      <c r="K2887" s="38">
        <f t="shared" si="164"/>
        <v>102330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customHeight="1">
      <c r="A2888" s="204" t="str">
        <f>IF(B2888&lt;&gt;"",IF(AND(B2888&gt;=_TM1,B2888&lt;=_TM2,OR(TH!L2888="1111",TH!M2888="1111")),TH!D2888,""),"")</f>
        <v/>
      </c>
      <c r="B2888" s="36">
        <f t="shared" si="160"/>
        <v>2</v>
      </c>
      <c r="C2888" s="37">
        <f t="shared" si="163"/>
        <v>40965</v>
      </c>
      <c r="D2888" s="37" t="s">
        <v>1738</v>
      </c>
      <c r="E2888" s="191">
        <v>40965</v>
      </c>
      <c r="F2888" s="40" t="s">
        <v>1509</v>
      </c>
      <c r="G2888" s="40" t="s">
        <v>1495</v>
      </c>
      <c r="H2888" s="7" t="s">
        <v>1706</v>
      </c>
      <c r="I2888" s="252">
        <v>17</v>
      </c>
      <c r="J2888" s="252">
        <v>12856.841797821051</v>
      </c>
      <c r="K2888" s="38">
        <f t="shared" si="164"/>
        <v>218566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customHeight="1">
      <c r="A2889" s="204" t="str">
        <f>IF(B2889&lt;&gt;"",IF(AND(B2889&gt;=_TM1,B2889&lt;=_TM2,OR(TH!L2889="1111",TH!M2889="1111")),TH!D2889,""),"")</f>
        <v/>
      </c>
      <c r="B2889" s="36">
        <f t="shared" si="160"/>
        <v>2</v>
      </c>
      <c r="C2889" s="37">
        <f t="shared" si="163"/>
        <v>40965</v>
      </c>
      <c r="D2889" s="37" t="s">
        <v>1738</v>
      </c>
      <c r="E2889" s="191">
        <v>40965</v>
      </c>
      <c r="F2889" s="40" t="s">
        <v>1510</v>
      </c>
      <c r="G2889" s="40" t="s">
        <v>1495</v>
      </c>
      <c r="H2889" s="7" t="s">
        <v>1706</v>
      </c>
      <c r="I2889" s="252">
        <v>61</v>
      </c>
      <c r="J2889" s="252">
        <v>12904.98548152404</v>
      </c>
      <c r="K2889" s="38">
        <f t="shared" si="164"/>
        <v>787204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customHeight="1">
      <c r="A2890" s="204" t="str">
        <f>IF(B2890&lt;&gt;"",IF(AND(B2890&gt;=_TM1,B2890&lt;=_TM2,OR(TH!L2890="1111",TH!M2890="1111")),TH!D2890,""),"")</f>
        <v/>
      </c>
      <c r="B2890" s="36">
        <f t="shared" si="160"/>
        <v>2</v>
      </c>
      <c r="C2890" s="37">
        <f t="shared" si="163"/>
        <v>40965</v>
      </c>
      <c r="D2890" s="37" t="s">
        <v>1738</v>
      </c>
      <c r="E2890" s="191">
        <v>40965</v>
      </c>
      <c r="F2890" s="40" t="s">
        <v>1511</v>
      </c>
      <c r="G2890" s="40" t="s">
        <v>1495</v>
      </c>
      <c r="H2890" s="7" t="s">
        <v>1706</v>
      </c>
      <c r="I2890" s="252">
        <v>22</v>
      </c>
      <c r="J2890" s="252">
        <v>6733.2455411365581</v>
      </c>
      <c r="K2890" s="38">
        <f t="shared" si="164"/>
        <v>148131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customHeight="1">
      <c r="A2891" s="204" t="str">
        <f>IF(B2891&lt;&gt;"",IF(AND(B2891&gt;=_TM1,B2891&lt;=_TM2,OR(TH!L2891="1111",TH!M2891="1111")),TH!D2891,""),"")</f>
        <v/>
      </c>
      <c r="B2891" s="36">
        <f t="shared" si="160"/>
        <v>2</v>
      </c>
      <c r="C2891" s="37">
        <f t="shared" si="163"/>
        <v>40965</v>
      </c>
      <c r="D2891" s="37" t="s">
        <v>1738</v>
      </c>
      <c r="E2891" s="191">
        <v>40965</v>
      </c>
      <c r="F2891" s="40" t="s">
        <v>1512</v>
      </c>
      <c r="G2891" s="40" t="s">
        <v>1495</v>
      </c>
      <c r="H2891" s="7" t="s">
        <v>1706</v>
      </c>
      <c r="I2891" s="252">
        <v>50</v>
      </c>
      <c r="J2891" s="252">
        <v>8081.6182684092855</v>
      </c>
      <c r="K2891" s="38">
        <f t="shared" si="164"/>
        <v>404081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customHeight="1">
      <c r="A2892" s="204" t="str">
        <f>IF(B2892&lt;&gt;"",IF(AND(B2892&gt;=_TM1,B2892&lt;=_TM2,OR(TH!L2892="1111",TH!M2892="1111")),TH!D2892,""),"")</f>
        <v/>
      </c>
      <c r="B2892" s="36">
        <f t="shared" si="160"/>
        <v>2</v>
      </c>
      <c r="C2892" s="37">
        <f t="shared" si="163"/>
        <v>40965</v>
      </c>
      <c r="D2892" s="37" t="s">
        <v>1738</v>
      </c>
      <c r="E2892" s="191">
        <v>40965</v>
      </c>
      <c r="F2892" s="40" t="s">
        <v>1513</v>
      </c>
      <c r="G2892" s="40" t="s">
        <v>1495</v>
      </c>
      <c r="H2892" s="7" t="s">
        <v>1706</v>
      </c>
      <c r="I2892" s="252">
        <v>19</v>
      </c>
      <c r="J2892" s="252">
        <v>16681.597215777711</v>
      </c>
      <c r="K2892" s="38">
        <f t="shared" si="164"/>
        <v>316950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customHeight="1">
      <c r="A2893" s="204" t="str">
        <f>IF(B2893&lt;&gt;"",IF(AND(B2893&gt;=_TM1,B2893&lt;=_TM2,OR(TH!L2893="1111",TH!M2893="1111")),TH!D2893,""),"")</f>
        <v/>
      </c>
      <c r="B2893" s="36">
        <f t="shared" si="160"/>
        <v>2</v>
      </c>
      <c r="C2893" s="37">
        <f t="shared" si="163"/>
        <v>40965</v>
      </c>
      <c r="D2893" s="37" t="s">
        <v>1738</v>
      </c>
      <c r="E2893" s="191">
        <v>40965</v>
      </c>
      <c r="F2893" s="40" t="s">
        <v>1514</v>
      </c>
      <c r="G2893" s="40" t="s">
        <v>1495</v>
      </c>
      <c r="H2893" s="7" t="s">
        <v>1706</v>
      </c>
      <c r="I2893" s="252">
        <v>3</v>
      </c>
      <c r="J2893" s="252">
        <v>11659.018268409285</v>
      </c>
      <c r="K2893" s="38">
        <f t="shared" si="164"/>
        <v>34977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customHeight="1">
      <c r="A2894" s="204" t="str">
        <f>IF(B2894&lt;&gt;"",IF(AND(B2894&gt;=_TM1,B2894&lt;=_TM2,OR(TH!L2894="1111",TH!M2894="1111")),TH!D2894,""),"")</f>
        <v/>
      </c>
      <c r="B2894" s="36">
        <f t="shared" si="160"/>
        <v>2</v>
      </c>
      <c r="C2894" s="37">
        <f t="shared" si="163"/>
        <v>40965</v>
      </c>
      <c r="D2894" s="37" t="s">
        <v>1738</v>
      </c>
      <c r="E2894" s="191">
        <v>40965</v>
      </c>
      <c r="F2894" s="40" t="s">
        <v>1498</v>
      </c>
      <c r="G2894" s="40" t="s">
        <v>1495</v>
      </c>
      <c r="H2894" s="7" t="s">
        <v>1706</v>
      </c>
      <c r="I2894" s="252">
        <v>2</v>
      </c>
      <c r="J2894" s="252">
        <v>12372.018268409285</v>
      </c>
      <c r="K2894" s="38">
        <f t="shared" si="164"/>
        <v>24744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customHeight="1">
      <c r="A2895" s="204" t="str">
        <f>IF(B2895&lt;&gt;"",IF(AND(B2895&gt;=_TM1,B2895&lt;=_TM2,OR(TH!L2895="1111",TH!M2895="1111")),TH!D2895,""),"")</f>
        <v/>
      </c>
      <c r="B2895" s="36">
        <f t="shared" si="160"/>
        <v>2</v>
      </c>
      <c r="C2895" s="37">
        <f t="shared" si="163"/>
        <v>40965</v>
      </c>
      <c r="D2895" s="37" t="s">
        <v>1738</v>
      </c>
      <c r="E2895" s="191">
        <v>40965</v>
      </c>
      <c r="F2895" s="40" t="s">
        <v>1509</v>
      </c>
      <c r="G2895" s="40" t="s">
        <v>1495</v>
      </c>
      <c r="H2895" s="7" t="s">
        <v>1706</v>
      </c>
      <c r="I2895" s="252">
        <v>2</v>
      </c>
      <c r="J2895" s="252">
        <v>19052.018268409287</v>
      </c>
      <c r="K2895" s="38">
        <f t="shared" si="164"/>
        <v>38104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customHeight="1">
      <c r="A2896" s="204" t="str">
        <f>IF(B2896&lt;&gt;"",IF(AND(B2896&gt;=_TM1,B2896&lt;=_TM2,OR(TH!L2896="1111",TH!M2896="1111")),TH!D2896,""),"")</f>
        <v/>
      </c>
      <c r="B2896" s="36">
        <f t="shared" si="160"/>
        <v>2</v>
      </c>
      <c r="C2896" s="37">
        <f t="shared" si="163"/>
        <v>40965</v>
      </c>
      <c r="D2896" s="37" t="s">
        <v>1738</v>
      </c>
      <c r="E2896" s="191">
        <v>40965</v>
      </c>
      <c r="F2896" s="40" t="s">
        <v>1515</v>
      </c>
      <c r="G2896" s="40" t="s">
        <v>1495</v>
      </c>
      <c r="H2896" s="7" t="s">
        <v>1706</v>
      </c>
      <c r="I2896" s="252">
        <v>1</v>
      </c>
      <c r="J2896" s="252">
        <v>10233.018268409285</v>
      </c>
      <c r="K2896" s="38">
        <f t="shared" si="164"/>
        <v>10233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customHeight="1">
      <c r="A2897" s="204" t="str">
        <f>IF(B2897&lt;&gt;"",IF(AND(B2897&gt;=_TM1,B2897&lt;=_TM2,OR(TH!L2897="1111",TH!M2897="1111")),TH!D2897,""),"")</f>
        <v/>
      </c>
      <c r="B2897" s="36">
        <f t="shared" si="160"/>
        <v>2</v>
      </c>
      <c r="C2897" s="37">
        <f t="shared" si="163"/>
        <v>40965</v>
      </c>
      <c r="D2897" s="37" t="s">
        <v>1738</v>
      </c>
      <c r="E2897" s="191">
        <v>40965</v>
      </c>
      <c r="F2897" s="40" t="s">
        <v>1516</v>
      </c>
      <c r="G2897" s="40" t="s">
        <v>1495</v>
      </c>
      <c r="H2897" s="7" t="s">
        <v>1706</v>
      </c>
      <c r="I2897" s="252">
        <v>4</v>
      </c>
      <c r="J2897" s="252">
        <v>17063.018268409283</v>
      </c>
      <c r="K2897" s="38">
        <f t="shared" si="164"/>
        <v>68252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customHeight="1">
      <c r="A2898" s="204" t="str">
        <f>IF(B2898&lt;&gt;"",IF(AND(B2898&gt;=_TM1,B2898&lt;=_TM2,OR(TH!L2898="1111",TH!M2898="1111")),TH!D2898,""),"")</f>
        <v/>
      </c>
      <c r="B2898" s="36">
        <f t="shared" si="160"/>
        <v>2</v>
      </c>
      <c r="C2898" s="37">
        <f t="shared" si="163"/>
        <v>40965</v>
      </c>
      <c r="D2898" s="37" t="s">
        <v>1738</v>
      </c>
      <c r="E2898" s="191">
        <v>40965</v>
      </c>
      <c r="F2898" s="40" t="s">
        <v>1517</v>
      </c>
      <c r="G2898" s="40" t="s">
        <v>1495</v>
      </c>
      <c r="H2898" s="7" t="s">
        <v>1706</v>
      </c>
      <c r="I2898" s="252">
        <v>4</v>
      </c>
      <c r="J2898" s="252">
        <v>17063.018268409283</v>
      </c>
      <c r="K2898" s="38">
        <f t="shared" si="164"/>
        <v>68252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customHeight="1">
      <c r="A2899" s="204" t="str">
        <f>IF(B2899&lt;&gt;"",IF(AND(B2899&gt;=_TM1,B2899&lt;=_TM2,OR(TH!L2899="1111",TH!M2899="1111")),TH!D2899,""),"")</f>
        <v/>
      </c>
      <c r="B2899" s="36">
        <f t="shared" si="160"/>
        <v>2</v>
      </c>
      <c r="C2899" s="37">
        <f t="shared" si="163"/>
        <v>40965</v>
      </c>
      <c r="D2899" s="37" t="s">
        <v>1738</v>
      </c>
      <c r="E2899" s="191">
        <v>40965</v>
      </c>
      <c r="F2899" s="40" t="s">
        <v>1518</v>
      </c>
      <c r="G2899" s="40" t="s">
        <v>1495</v>
      </c>
      <c r="H2899" s="7" t="s">
        <v>1706</v>
      </c>
      <c r="I2899" s="252">
        <v>10</v>
      </c>
      <c r="J2899" s="252">
        <v>17063.018268409287</v>
      </c>
      <c r="K2899" s="38">
        <f t="shared" si="164"/>
        <v>170630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customHeight="1">
      <c r="A2900" s="204" t="str">
        <f>IF(B2900&lt;&gt;"",IF(AND(B2900&gt;=_TM1,B2900&lt;=_TM2,OR(TH!L2900="1111",TH!M2900="1111")),TH!D2900,""),"")</f>
        <v/>
      </c>
      <c r="B2900" s="36">
        <f t="shared" si="160"/>
        <v>2</v>
      </c>
      <c r="C2900" s="37">
        <f t="shared" si="163"/>
        <v>40965</v>
      </c>
      <c r="D2900" s="37" t="s">
        <v>1738</v>
      </c>
      <c r="E2900" s="191">
        <v>40965</v>
      </c>
      <c r="F2900" s="40" t="s">
        <v>1519</v>
      </c>
      <c r="G2900" s="40" t="s">
        <v>1495</v>
      </c>
      <c r="H2900" s="7" t="s">
        <v>1706</v>
      </c>
      <c r="I2900" s="252">
        <v>508</v>
      </c>
      <c r="J2900" s="252">
        <v>16845.852914078576</v>
      </c>
      <c r="K2900" s="38">
        <f t="shared" si="164"/>
        <v>8557693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customHeight="1">
      <c r="A2901" s="204" t="str">
        <f>IF(B2901&lt;&gt;"",IF(AND(B2901&gt;=_TM1,B2901&lt;=_TM2,OR(TH!L2901="1111",TH!M2901="1111")),TH!D2901,""),"")</f>
        <v/>
      </c>
      <c r="B2901" s="36">
        <f t="shared" si="160"/>
        <v>2</v>
      </c>
      <c r="C2901" s="37">
        <f t="shared" si="163"/>
        <v>40965</v>
      </c>
      <c r="D2901" s="37" t="s">
        <v>1738</v>
      </c>
      <c r="E2901" s="191">
        <v>40965</v>
      </c>
      <c r="F2901" s="40" t="s">
        <v>934</v>
      </c>
      <c r="G2901" s="40" t="s">
        <v>1495</v>
      </c>
      <c r="H2901" s="7" t="s">
        <v>1706</v>
      </c>
      <c r="I2901" s="252">
        <v>520</v>
      </c>
      <c r="J2901" s="252">
        <v>5331.556729947747</v>
      </c>
      <c r="K2901" s="38">
        <f t="shared" si="164"/>
        <v>2772409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customHeight="1">
      <c r="A2902" s="204" t="str">
        <f>IF(B2902&lt;&gt;"",IF(AND(B2902&gt;=_TM1,B2902&lt;=_TM2,OR(TH!L2902="1111",TH!M2902="1111")),TH!D2902,""),"")</f>
        <v/>
      </c>
      <c r="B2902" s="36">
        <f t="shared" si="160"/>
        <v>2</v>
      </c>
      <c r="C2902" s="37">
        <f t="shared" si="163"/>
        <v>40965</v>
      </c>
      <c r="D2902" s="37" t="s">
        <v>1738</v>
      </c>
      <c r="E2902" s="191">
        <v>40965</v>
      </c>
      <c r="F2902" s="40" t="s">
        <v>1520</v>
      </c>
      <c r="G2902" s="40" t="s">
        <v>1495</v>
      </c>
      <c r="H2902" s="7" t="s">
        <v>1706</v>
      </c>
      <c r="I2902" s="252">
        <v>2</v>
      </c>
      <c r="J2902" s="252">
        <v>17063.018268409283</v>
      </c>
      <c r="K2902" s="38">
        <f t="shared" si="164"/>
        <v>34126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customHeight="1">
      <c r="A2903" s="204" t="str">
        <f>IF(B2903&lt;&gt;"",IF(AND(B2903&gt;=_TM1,B2903&lt;=_TM2,OR(TH!L2903="1111",TH!M2903="1111")),TH!D2903,""),"")</f>
        <v/>
      </c>
      <c r="B2903" s="36">
        <f t="shared" si="160"/>
        <v>2</v>
      </c>
      <c r="C2903" s="37">
        <f t="shared" si="163"/>
        <v>40968</v>
      </c>
      <c r="D2903" s="37" t="s">
        <v>1738</v>
      </c>
      <c r="E2903" s="191">
        <v>40968</v>
      </c>
      <c r="F2903" s="40" t="s">
        <v>1531</v>
      </c>
      <c r="G2903" s="40" t="s">
        <v>1521</v>
      </c>
      <c r="H2903" s="7" t="s">
        <v>1706</v>
      </c>
      <c r="I2903" s="252">
        <v>9</v>
      </c>
      <c r="J2903" s="252">
        <v>17063.018268409287</v>
      </c>
      <c r="K2903" s="38">
        <f t="shared" si="164"/>
        <v>153567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customHeight="1">
      <c r="A2904" s="204" t="str">
        <f>IF(B2904&lt;&gt;"",IF(AND(B2904&gt;=_TM1,B2904&lt;=_TM2,OR(TH!L2904="1111",TH!M2904="1111")),TH!D2904,""),"")</f>
        <v/>
      </c>
      <c r="B2904" s="36">
        <f t="shared" si="160"/>
        <v>2</v>
      </c>
      <c r="C2904" s="37">
        <f t="shared" si="163"/>
        <v>40968</v>
      </c>
      <c r="D2904" s="37" t="s">
        <v>1738</v>
      </c>
      <c r="E2904" s="191">
        <v>40968</v>
      </c>
      <c r="F2904" s="40" t="s">
        <v>1530</v>
      </c>
      <c r="G2904" s="40" t="s">
        <v>1521</v>
      </c>
      <c r="H2904" s="7" t="s">
        <v>1706</v>
      </c>
      <c r="I2904" s="252">
        <v>2</v>
      </c>
      <c r="J2904" s="252">
        <v>5955.5182684092852</v>
      </c>
      <c r="K2904" s="38">
        <f t="shared" si="164"/>
        <v>11911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customHeight="1">
      <c r="A2905" s="204" t="str">
        <f>IF(B2905&lt;&gt;"",IF(AND(B2905&gt;=_TM1,B2905&lt;=_TM2,OR(TH!L2905="1111",TH!M2905="1111")),TH!D2905,""),"")</f>
        <v/>
      </c>
      <c r="B2905" s="36">
        <f t="shared" si="160"/>
        <v>2</v>
      </c>
      <c r="C2905" s="37">
        <f t="shared" si="163"/>
        <v>40968</v>
      </c>
      <c r="D2905" s="37" t="s">
        <v>1738</v>
      </c>
      <c r="E2905" s="191">
        <v>40968</v>
      </c>
      <c r="F2905" s="40" t="s">
        <v>1497</v>
      </c>
      <c r="G2905" s="40" t="s">
        <v>1521</v>
      </c>
      <c r="H2905" s="7" t="s">
        <v>1706</v>
      </c>
      <c r="I2905" s="252">
        <v>2</v>
      </c>
      <c r="J2905" s="252">
        <v>5955.5182684092852</v>
      </c>
      <c r="K2905" s="38">
        <f t="shared" si="164"/>
        <v>11911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customHeight="1">
      <c r="A2906" s="204" t="str">
        <f>IF(B2906&lt;&gt;"",IF(AND(B2906&gt;=_TM1,B2906&lt;=_TM2,OR(TH!L2906="1111",TH!M2906="1111")),TH!D2906,""),"")</f>
        <v/>
      </c>
      <c r="B2906" s="36">
        <f t="shared" si="160"/>
        <v>2</v>
      </c>
      <c r="C2906" s="37">
        <f t="shared" si="163"/>
        <v>40968</v>
      </c>
      <c r="D2906" s="37" t="s">
        <v>1738</v>
      </c>
      <c r="E2906" s="191">
        <v>40968</v>
      </c>
      <c r="F2906" s="40" t="s">
        <v>1528</v>
      </c>
      <c r="G2906" s="40" t="s">
        <v>1521</v>
      </c>
      <c r="H2906" s="7" t="s">
        <v>1706</v>
      </c>
      <c r="I2906" s="252">
        <v>3</v>
      </c>
      <c r="J2906" s="252">
        <v>10233.018268409285</v>
      </c>
      <c r="K2906" s="38">
        <f t="shared" si="164"/>
        <v>30699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customHeight="1">
      <c r="A2907" s="204" t="str">
        <f>IF(B2907&lt;&gt;"",IF(AND(B2907&gt;=_TM1,B2907&lt;=_TM2,OR(TH!L2907="1111",TH!M2907="1111")),TH!D2907,""),"")</f>
        <v/>
      </c>
      <c r="B2907" s="36">
        <f t="shared" si="160"/>
        <v>2</v>
      </c>
      <c r="C2907" s="37">
        <f t="shared" si="163"/>
        <v>40968</v>
      </c>
      <c r="D2907" s="37" t="s">
        <v>1738</v>
      </c>
      <c r="E2907" s="191">
        <v>40968</v>
      </c>
      <c r="F2907" s="40" t="s">
        <v>1511</v>
      </c>
      <c r="G2907" s="40" t="s">
        <v>1521</v>
      </c>
      <c r="H2907" s="7" t="s">
        <v>1706</v>
      </c>
      <c r="I2907" s="252">
        <v>2</v>
      </c>
      <c r="J2907" s="252">
        <v>5955.5182684092852</v>
      </c>
      <c r="K2907" s="38">
        <f t="shared" si="164"/>
        <v>11911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customHeight="1">
      <c r="A2908" s="204" t="str">
        <f>IF(B2908&lt;&gt;"",IF(AND(B2908&gt;=_TM1,B2908&lt;=_TM2,OR(TH!L2908="1111",TH!M2908="1111")),TH!D2908,""),"")</f>
        <v/>
      </c>
      <c r="B2908" s="36">
        <f t="shared" si="160"/>
        <v>2</v>
      </c>
      <c r="C2908" s="37">
        <f t="shared" si="163"/>
        <v>40968</v>
      </c>
      <c r="D2908" s="37" t="s">
        <v>1738</v>
      </c>
      <c r="E2908" s="191">
        <v>40968</v>
      </c>
      <c r="F2908" s="40" t="s">
        <v>1527</v>
      </c>
      <c r="G2908" s="40" t="s">
        <v>1521</v>
      </c>
      <c r="H2908" s="7" t="s">
        <v>1706</v>
      </c>
      <c r="I2908" s="252">
        <v>2</v>
      </c>
      <c r="J2908" s="252">
        <v>10233.018268409285</v>
      </c>
      <c r="K2908" s="38">
        <f t="shared" si="164"/>
        <v>20466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customHeight="1">
      <c r="A2909" s="204" t="str">
        <f>IF(B2909&lt;&gt;"",IF(AND(B2909&gt;=_TM1,B2909&lt;=_TM2,OR(TH!L2909="1111",TH!M2909="1111")),TH!D2909,""),"")</f>
        <v/>
      </c>
      <c r="B2909" s="36">
        <f t="shared" si="160"/>
        <v>2</v>
      </c>
      <c r="C2909" s="37">
        <f t="shared" si="163"/>
        <v>40968</v>
      </c>
      <c r="D2909" s="37" t="s">
        <v>1738</v>
      </c>
      <c r="E2909" s="191">
        <v>40968</v>
      </c>
      <c r="F2909" s="40" t="s">
        <v>1529</v>
      </c>
      <c r="G2909" s="40" t="s">
        <v>1521</v>
      </c>
      <c r="H2909" s="7" t="s">
        <v>1706</v>
      </c>
      <c r="I2909" s="252">
        <v>2</v>
      </c>
      <c r="J2909" s="252">
        <v>10233.018268409285</v>
      </c>
      <c r="K2909" s="38">
        <f t="shared" si="164"/>
        <v>20466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customHeight="1">
      <c r="A2910" s="204" t="str">
        <f>IF(B2910&lt;&gt;"",IF(AND(B2910&gt;=_TM1,B2910&lt;=_TM2,OR(TH!L2910="1111",TH!M2910="1111")),TH!D2910,""),"")</f>
        <v/>
      </c>
      <c r="B2910" s="36">
        <f t="shared" si="160"/>
        <v>2</v>
      </c>
      <c r="C2910" s="37">
        <f t="shared" si="163"/>
        <v>40968</v>
      </c>
      <c r="D2910" s="37" t="s">
        <v>1738</v>
      </c>
      <c r="E2910" s="191">
        <v>40968</v>
      </c>
      <c r="F2910" s="40" t="s">
        <v>1512</v>
      </c>
      <c r="G2910" s="40" t="s">
        <v>1521</v>
      </c>
      <c r="H2910" s="7" t="s">
        <v>1706</v>
      </c>
      <c r="I2910" s="252">
        <v>66</v>
      </c>
      <c r="J2910" s="252">
        <v>7553.3516017426182</v>
      </c>
      <c r="K2910" s="38">
        <f t="shared" si="164"/>
        <v>498521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customHeight="1">
      <c r="A2911" s="204" t="str">
        <f>IF(B2911&lt;&gt;"",IF(AND(B2911&gt;=_TM1,B2911&lt;=_TM2,OR(TH!L2911="1111",TH!M2911="1111")),TH!D2911,""),"")</f>
        <v/>
      </c>
      <c r="B2911" s="36">
        <f t="shared" si="160"/>
        <v>2</v>
      </c>
      <c r="C2911" s="37">
        <f t="shared" si="163"/>
        <v>40968</v>
      </c>
      <c r="D2911" s="37" t="s">
        <v>1738</v>
      </c>
      <c r="E2911" s="191">
        <v>40968</v>
      </c>
      <c r="F2911" s="40" t="s">
        <v>1514</v>
      </c>
      <c r="G2911" s="40" t="s">
        <v>1521</v>
      </c>
      <c r="H2911" s="7" t="s">
        <v>1706</v>
      </c>
      <c r="I2911" s="252">
        <v>1</v>
      </c>
      <c r="J2911" s="252">
        <v>10233.018268409285</v>
      </c>
      <c r="K2911" s="38">
        <f t="shared" si="164"/>
        <v>10233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customHeight="1">
      <c r="A2912" s="204" t="str">
        <f>IF(B2912&lt;&gt;"",IF(AND(B2912&gt;=_TM1,B2912&lt;=_TM2,OR(TH!L2912="1111",TH!M2912="1111")),TH!D2912,""),"")</f>
        <v/>
      </c>
      <c r="B2912" s="36">
        <f t="shared" si="160"/>
        <v>2</v>
      </c>
      <c r="C2912" s="37">
        <f t="shared" si="163"/>
        <v>40968</v>
      </c>
      <c r="D2912" s="37" t="s">
        <v>1738</v>
      </c>
      <c r="E2912" s="191">
        <v>40968</v>
      </c>
      <c r="F2912" s="40" t="s">
        <v>1504</v>
      </c>
      <c r="G2912" s="40" t="s">
        <v>1521</v>
      </c>
      <c r="H2912" s="7" t="s">
        <v>1706</v>
      </c>
      <c r="I2912" s="252">
        <v>68</v>
      </c>
      <c r="J2912" s="252">
        <v>7921.1065037034023</v>
      </c>
      <c r="K2912" s="38">
        <f t="shared" si="164"/>
        <v>538635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customHeight="1">
      <c r="A2913" s="204" t="str">
        <f>IF(B2913&lt;&gt;"",IF(AND(B2913&gt;=_TM1,B2913&lt;=_TM2,OR(TH!L2913="1111",TH!M2913="1111")),TH!D2913,""),"")</f>
        <v/>
      </c>
      <c r="B2913" s="36">
        <f t="shared" si="160"/>
        <v>2</v>
      </c>
      <c r="C2913" s="37">
        <f t="shared" si="163"/>
        <v>40968</v>
      </c>
      <c r="D2913" s="37" t="s">
        <v>1738</v>
      </c>
      <c r="E2913" s="191">
        <v>40968</v>
      </c>
      <c r="F2913" s="40" t="s">
        <v>1505</v>
      </c>
      <c r="G2913" s="40" t="s">
        <v>1521</v>
      </c>
      <c r="H2913" s="7" t="s">
        <v>1706</v>
      </c>
      <c r="I2913" s="252">
        <v>136</v>
      </c>
      <c r="J2913" s="252">
        <v>9591.143268409287</v>
      </c>
      <c r="K2913" s="38">
        <f t="shared" si="164"/>
        <v>1304395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customHeight="1">
      <c r="A2914" s="204" t="str">
        <f>IF(B2914&lt;&gt;"",IF(AND(B2914&gt;=_TM1,B2914&lt;=_TM2,OR(TH!L2914="1111",TH!M2914="1111")),TH!D2914,""),"")</f>
        <v/>
      </c>
      <c r="B2914" s="36">
        <f t="shared" si="160"/>
        <v>2</v>
      </c>
      <c r="C2914" s="37">
        <f t="shared" si="163"/>
        <v>40968</v>
      </c>
      <c r="D2914" s="37" t="s">
        <v>1738</v>
      </c>
      <c r="E2914" s="191">
        <v>40968</v>
      </c>
      <c r="F2914" s="40" t="s">
        <v>1525</v>
      </c>
      <c r="G2914" s="40" t="s">
        <v>1521</v>
      </c>
      <c r="H2914" s="7" t="s">
        <v>1706</v>
      </c>
      <c r="I2914" s="252">
        <v>52</v>
      </c>
      <c r="J2914" s="252">
        <v>9203.7874991785156</v>
      </c>
      <c r="K2914" s="38">
        <f t="shared" si="164"/>
        <v>478597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customHeight="1">
      <c r="A2915" s="204" t="str">
        <f>IF(B2915&lt;&gt;"",IF(AND(B2915&gt;=_TM1,B2915&lt;=_TM2,OR(TH!L2915="1111",TH!M2915="1111")),TH!D2915,""),"")</f>
        <v/>
      </c>
      <c r="B2915" s="36">
        <f t="shared" si="160"/>
        <v>2</v>
      </c>
      <c r="C2915" s="37">
        <f t="shared" si="163"/>
        <v>40968</v>
      </c>
      <c r="D2915" s="37" t="s">
        <v>1738</v>
      </c>
      <c r="E2915" s="191">
        <v>40968</v>
      </c>
      <c r="F2915" s="40" t="s">
        <v>1506</v>
      </c>
      <c r="G2915" s="40" t="s">
        <v>1521</v>
      </c>
      <c r="H2915" s="7" t="s">
        <v>1706</v>
      </c>
      <c r="I2915" s="252">
        <v>532</v>
      </c>
      <c r="J2915" s="252">
        <v>12638.544584198758</v>
      </c>
      <c r="K2915" s="38">
        <f t="shared" si="164"/>
        <v>6723706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customHeight="1">
      <c r="A2916" s="204" t="str">
        <f>IF(B2916&lt;&gt;"",IF(AND(B2916&gt;=_TM1,B2916&lt;=_TM2,OR(TH!L2916="1111",TH!M2916="1111")),TH!D2916,""),"")</f>
        <v/>
      </c>
      <c r="B2916" s="36">
        <f t="shared" si="160"/>
        <v>2</v>
      </c>
      <c r="C2916" s="37">
        <f t="shared" si="163"/>
        <v>40968</v>
      </c>
      <c r="D2916" s="37" t="s">
        <v>1738</v>
      </c>
      <c r="E2916" s="191">
        <v>40968</v>
      </c>
      <c r="F2916" s="40" t="s">
        <v>1496</v>
      </c>
      <c r="G2916" s="40" t="s">
        <v>1521</v>
      </c>
      <c r="H2916" s="7" t="s">
        <v>1706</v>
      </c>
      <c r="I2916" s="252">
        <v>451</v>
      </c>
      <c r="J2916" s="252">
        <v>13948.794321624362</v>
      </c>
      <c r="K2916" s="38">
        <f t="shared" si="164"/>
        <v>6290906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customHeight="1">
      <c r="A2917" s="204" t="str">
        <f>IF(B2917&lt;&gt;"",IF(AND(B2917&gt;=_TM1,B2917&lt;=_TM2,OR(TH!L2917="1111",TH!M2917="1111")),TH!D2917,""),"")</f>
        <v/>
      </c>
      <c r="B2917" s="36">
        <f t="shared" si="160"/>
        <v>2</v>
      </c>
      <c r="C2917" s="37">
        <f t="shared" si="163"/>
        <v>40968</v>
      </c>
      <c r="D2917" s="37" t="s">
        <v>1738</v>
      </c>
      <c r="E2917" s="191">
        <v>40968</v>
      </c>
      <c r="F2917" s="40" t="s">
        <v>1510</v>
      </c>
      <c r="G2917" s="40" t="s">
        <v>1521</v>
      </c>
      <c r="H2917" s="7" t="s">
        <v>1706</v>
      </c>
      <c r="I2917" s="252">
        <v>4</v>
      </c>
      <c r="J2917" s="252">
        <v>14708.518268409285</v>
      </c>
      <c r="K2917" s="38">
        <f t="shared" si="164"/>
        <v>58834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customHeight="1">
      <c r="A2918" s="204" t="str">
        <f>IF(B2918&lt;&gt;"",IF(AND(B2918&gt;=_TM1,B2918&lt;=_TM2,OR(TH!L2918="1111",TH!M2918="1111")),TH!D2918,""),"")</f>
        <v/>
      </c>
      <c r="B2918" s="36">
        <f t="shared" si="160"/>
        <v>2</v>
      </c>
      <c r="C2918" s="37">
        <f t="shared" si="163"/>
        <v>40968</v>
      </c>
      <c r="D2918" s="37" t="s">
        <v>1738</v>
      </c>
      <c r="E2918" s="191">
        <v>40968</v>
      </c>
      <c r="F2918" s="40" t="s">
        <v>1526</v>
      </c>
      <c r="G2918" s="40" t="s">
        <v>1521</v>
      </c>
      <c r="H2918" s="7" t="s">
        <v>1706</v>
      </c>
      <c r="I2918" s="252">
        <v>346</v>
      </c>
      <c r="J2918" s="252">
        <v>13079.633875345704</v>
      </c>
      <c r="K2918" s="38">
        <f t="shared" si="164"/>
        <v>4525553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customHeight="1">
      <c r="A2919" s="204" t="str">
        <f>IF(B2919&lt;&gt;"",IF(AND(B2919&gt;=_TM1,B2919&lt;=_TM2,OR(TH!L2919="1111",TH!M2919="1111")),TH!D2919,""),"")</f>
        <v/>
      </c>
      <c r="B2919" s="36">
        <f t="shared" si="160"/>
        <v>2</v>
      </c>
      <c r="C2919" s="37">
        <f t="shared" si="163"/>
        <v>40968</v>
      </c>
      <c r="D2919" s="37" t="s">
        <v>1738</v>
      </c>
      <c r="E2919" s="191">
        <v>40968</v>
      </c>
      <c r="F2919" s="40" t="s">
        <v>1522</v>
      </c>
      <c r="G2919" s="40" t="s">
        <v>1521</v>
      </c>
      <c r="H2919" s="7" t="s">
        <v>1706</v>
      </c>
      <c r="I2919" s="252">
        <v>196</v>
      </c>
      <c r="J2919" s="252">
        <v>16553.018268409287</v>
      </c>
      <c r="K2919" s="38">
        <f t="shared" si="164"/>
        <v>3244392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customHeight="1">
      <c r="A2920" s="204" t="str">
        <f>IF(B2920&lt;&gt;"",IF(AND(B2920&gt;=_TM1,B2920&lt;=_TM2,OR(TH!L2920="1111",TH!M2920="1111")),TH!D2920,""),"")</f>
        <v/>
      </c>
      <c r="B2920" s="36">
        <f t="shared" si="160"/>
        <v>2</v>
      </c>
      <c r="C2920" s="37">
        <f t="shared" si="163"/>
        <v>40968</v>
      </c>
      <c r="D2920" s="37" t="s">
        <v>1738</v>
      </c>
      <c r="E2920" s="191">
        <v>40968</v>
      </c>
      <c r="F2920" s="40" t="s">
        <v>1513</v>
      </c>
      <c r="G2920" s="40" t="s">
        <v>1521</v>
      </c>
      <c r="H2920" s="7" t="s">
        <v>1706</v>
      </c>
      <c r="I2920" s="252">
        <v>50</v>
      </c>
      <c r="J2920" s="252">
        <v>15374.918268409283</v>
      </c>
      <c r="K2920" s="38">
        <f t="shared" si="164"/>
        <v>768746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customHeight="1">
      <c r="A2921" s="204" t="str">
        <f>IF(B2921&lt;&gt;"",IF(AND(B2921&gt;=_TM1,B2921&lt;=_TM2,OR(TH!L2921="1111",TH!M2921="1111")),TH!D2921,""),"")</f>
        <v/>
      </c>
      <c r="B2921" s="36">
        <f t="shared" si="160"/>
        <v>2</v>
      </c>
      <c r="C2921" s="37">
        <f t="shared" si="163"/>
        <v>40968</v>
      </c>
      <c r="D2921" s="37" t="s">
        <v>1738</v>
      </c>
      <c r="E2921" s="191">
        <v>40968</v>
      </c>
      <c r="F2921" s="40" t="s">
        <v>1516</v>
      </c>
      <c r="G2921" s="40" t="s">
        <v>1521</v>
      </c>
      <c r="H2921" s="7" t="s">
        <v>1706</v>
      </c>
      <c r="I2921" s="252">
        <v>30</v>
      </c>
      <c r="J2921" s="252">
        <v>17954.018268409287</v>
      </c>
      <c r="K2921" s="38">
        <f t="shared" si="164"/>
        <v>538621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customHeight="1">
      <c r="A2922" s="204" t="str">
        <f>IF(B2922&lt;&gt;"",IF(AND(B2922&gt;=_TM1,B2922&lt;=_TM2,OR(TH!L2922="1111",TH!M2922="1111")),TH!D2922,""),"")</f>
        <v/>
      </c>
      <c r="B2922" s="36">
        <f t="shared" si="160"/>
        <v>2</v>
      </c>
      <c r="C2922" s="37">
        <f t="shared" si="163"/>
        <v>40968</v>
      </c>
      <c r="D2922" s="37" t="s">
        <v>1738</v>
      </c>
      <c r="E2922" s="191">
        <v>40968</v>
      </c>
      <c r="F2922" s="40" t="s">
        <v>1523</v>
      </c>
      <c r="G2922" s="40" t="s">
        <v>1521</v>
      </c>
      <c r="H2922" s="7" t="s">
        <v>1706</v>
      </c>
      <c r="I2922" s="252">
        <v>63</v>
      </c>
      <c r="J2922" s="252">
        <v>14101.510331901349</v>
      </c>
      <c r="K2922" s="38">
        <f t="shared" si="164"/>
        <v>888395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customHeight="1">
      <c r="A2923" s="204" t="str">
        <f>IF(B2923&lt;&gt;"",IF(AND(B2923&gt;=_TM1,B2923&lt;=_TM2,OR(TH!L2923="1111",TH!M2923="1111")),TH!D2923,""),"")</f>
        <v/>
      </c>
      <c r="B2923" s="36">
        <f t="shared" si="160"/>
        <v>2</v>
      </c>
      <c r="C2923" s="37">
        <f t="shared" si="163"/>
        <v>40968</v>
      </c>
      <c r="D2923" s="37" t="s">
        <v>1738</v>
      </c>
      <c r="E2923" s="191">
        <v>40968</v>
      </c>
      <c r="F2923" s="40" t="s">
        <v>1509</v>
      </c>
      <c r="G2923" s="40" t="s">
        <v>1521</v>
      </c>
      <c r="H2923" s="7" t="s">
        <v>1706</v>
      </c>
      <c r="I2923" s="252">
        <v>165</v>
      </c>
      <c r="J2923" s="252">
        <v>10445.775844166859</v>
      </c>
      <c r="K2923" s="38">
        <f t="shared" si="164"/>
        <v>1723553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customHeight="1">
      <c r="A2924" s="204" t="str">
        <f>IF(B2924&lt;&gt;"",IF(AND(B2924&gt;=_TM1,B2924&lt;=_TM2,OR(TH!L2924="1111",TH!M2924="1111")),TH!D2924,""),"")</f>
        <v/>
      </c>
      <c r="B2924" s="36">
        <f t="shared" si="160"/>
        <v>2</v>
      </c>
      <c r="C2924" s="37">
        <f t="shared" si="163"/>
        <v>40968</v>
      </c>
      <c r="D2924" s="37" t="s">
        <v>1738</v>
      </c>
      <c r="E2924" s="191">
        <v>40968</v>
      </c>
      <c r="F2924" s="40" t="s">
        <v>1507</v>
      </c>
      <c r="G2924" s="40" t="s">
        <v>1521</v>
      </c>
      <c r="H2924" s="7" t="s">
        <v>1706</v>
      </c>
      <c r="I2924" s="252">
        <v>1</v>
      </c>
      <c r="J2924" s="252">
        <v>19052.018268409287</v>
      </c>
      <c r="K2924" s="38">
        <f t="shared" si="164"/>
        <v>19052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customHeight="1">
      <c r="A2925" s="204" t="str">
        <f>IF(B2925&lt;&gt;"",IF(AND(B2925&gt;=_TM1,B2925&lt;=_TM2,OR(TH!L2925="1111",TH!M2925="1111")),TH!D2925,""),"")</f>
        <v/>
      </c>
      <c r="B2925" s="36">
        <f t="shared" si="160"/>
        <v>2</v>
      </c>
      <c r="C2925" s="37">
        <f t="shared" si="163"/>
        <v>40968</v>
      </c>
      <c r="D2925" s="37" t="s">
        <v>1738</v>
      </c>
      <c r="E2925" s="191">
        <v>40968</v>
      </c>
      <c r="F2925" s="40" t="s">
        <v>1524</v>
      </c>
      <c r="G2925" s="40" t="s">
        <v>1521</v>
      </c>
      <c r="H2925" s="7" t="s">
        <v>1706</v>
      </c>
      <c r="I2925" s="252">
        <v>50</v>
      </c>
      <c r="J2925" s="252">
        <v>19121.018268409283</v>
      </c>
      <c r="K2925" s="38">
        <f t="shared" si="164"/>
        <v>956051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customHeight="1">
      <c r="A2926" s="204" t="str">
        <f>IF(B2926&lt;&gt;"",IF(AND(B2926&gt;=_TM1,B2926&lt;=_TM2,OR(TH!L2926="1111",TH!M2926="1111")),TH!D2926,""),"")</f>
        <v/>
      </c>
      <c r="B2926" s="36">
        <f t="shared" si="160"/>
        <v>3</v>
      </c>
      <c r="C2926" s="37">
        <f t="shared" si="163"/>
        <v>40971</v>
      </c>
      <c r="D2926" s="37" t="s">
        <v>1738</v>
      </c>
      <c r="E2926" s="191">
        <v>40971</v>
      </c>
      <c r="F2926" s="40" t="s">
        <v>1489</v>
      </c>
      <c r="G2926" s="40" t="s">
        <v>940</v>
      </c>
      <c r="H2926" s="7" t="s">
        <v>1706</v>
      </c>
      <c r="I2926" s="252">
        <v>490</v>
      </c>
      <c r="J2926" s="252">
        <v>12443.732554123571</v>
      </c>
      <c r="K2926" s="38">
        <f t="shared" si="164"/>
        <v>6097429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customHeight="1">
      <c r="A2927" s="204" t="str">
        <f>IF(B2927&lt;&gt;"",IF(AND(B2927&gt;=_TM1,B2927&lt;=_TM2,OR(TH!L2927="1111",TH!M2927="1111")),TH!D2927,""),"")</f>
        <v/>
      </c>
      <c r="B2927" s="36">
        <f t="shared" si="160"/>
        <v>3</v>
      </c>
      <c r="C2927" s="37">
        <f t="shared" si="163"/>
        <v>40971</v>
      </c>
      <c r="D2927" s="37" t="s">
        <v>1738</v>
      </c>
      <c r="E2927" s="191">
        <v>40971</v>
      </c>
      <c r="F2927" s="40" t="s">
        <v>1478</v>
      </c>
      <c r="G2927" s="40" t="s">
        <v>941</v>
      </c>
      <c r="H2927" s="7" t="s">
        <v>1706</v>
      </c>
      <c r="I2927" s="252">
        <v>45</v>
      </c>
      <c r="J2927" s="252">
        <v>41862.240490631506</v>
      </c>
      <c r="K2927" s="38">
        <f t="shared" si="164"/>
        <v>1883801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customHeight="1">
      <c r="A2928" s="204" t="str">
        <f>IF(B2928&lt;&gt;"",IF(AND(B2928&gt;=_TM1,B2928&lt;=_TM2,OR(TH!L2928="1111",TH!M2928="1111")),TH!D2928,""),"")</f>
        <v/>
      </c>
      <c r="B2928" s="36">
        <f t="shared" si="157"/>
        <v>3</v>
      </c>
      <c r="C2928" s="37">
        <f t="shared" ref="C2928:C3001" si="165">E2928</f>
        <v>40971</v>
      </c>
      <c r="D2928" s="37" t="s">
        <v>1738</v>
      </c>
      <c r="E2928" s="191">
        <v>40971</v>
      </c>
      <c r="F2928" s="40" t="s">
        <v>1479</v>
      </c>
      <c r="G2928" s="40" t="s">
        <v>941</v>
      </c>
      <c r="H2928" s="7" t="s">
        <v>1706</v>
      </c>
      <c r="I2928" s="252">
        <v>420</v>
      </c>
      <c r="J2928" s="252">
        <v>23494.446839837859</v>
      </c>
      <c r="K2928" s="38">
        <f t="shared" ref="K2928:K3001" si="166">ROUND(I2928*J2928,0)</f>
        <v>9867668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6" ht="15.75" customHeight="1">
      <c r="A2929" s="204" t="str">
        <f>IF(B2929&lt;&gt;"",IF(AND(B2929&gt;=_TM1,B2929&lt;=_TM2,OR(TH!L2929="1111",TH!M2929="1111")),TH!D2929,""),"")</f>
        <v/>
      </c>
      <c r="B2929" s="36">
        <f t="shared" si="157"/>
        <v>3</v>
      </c>
      <c r="C2929" s="37">
        <f t="shared" si="165"/>
        <v>40971</v>
      </c>
      <c r="D2929" s="37" t="s">
        <v>1738</v>
      </c>
      <c r="E2929" s="191">
        <v>40971</v>
      </c>
      <c r="F2929" s="40" t="s">
        <v>1480</v>
      </c>
      <c r="G2929" s="40" t="s">
        <v>941</v>
      </c>
      <c r="H2929" s="7" t="s">
        <v>1706</v>
      </c>
      <c r="I2929" s="252">
        <v>15</v>
      </c>
      <c r="J2929" s="252">
        <v>45315.351601742623</v>
      </c>
      <c r="K2929" s="38">
        <f t="shared" si="166"/>
        <v>679730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6" ht="15.75" customHeight="1">
      <c r="A2930" s="204" t="str">
        <f>IF(B2930&lt;&gt;"",IF(AND(B2930&gt;=_TM1,B2930&lt;=_TM2,OR(TH!L2930="1111",TH!M2930="1111")),TH!D2930,""),"")</f>
        <v/>
      </c>
      <c r="B2930" s="36">
        <f t="shared" si="157"/>
        <v>3</v>
      </c>
      <c r="C2930" s="37">
        <f t="shared" si="165"/>
        <v>40971</v>
      </c>
      <c r="D2930" s="37" t="s">
        <v>1738</v>
      </c>
      <c r="E2930" s="191">
        <v>40971</v>
      </c>
      <c r="F2930" s="40" t="s">
        <v>1481</v>
      </c>
      <c r="G2930" s="40" t="s">
        <v>941</v>
      </c>
      <c r="H2930" s="7" t="s">
        <v>1706</v>
      </c>
      <c r="I2930" s="252">
        <v>45</v>
      </c>
      <c r="J2930" s="252">
        <v>36623.573823964842</v>
      </c>
      <c r="K2930" s="38">
        <f t="shared" si="166"/>
        <v>1648061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6" ht="15.75" customHeight="1">
      <c r="A2931" s="204" t="str">
        <f>IF(B2931&lt;&gt;"",IF(AND(B2931&gt;=_TM1,B2931&lt;=_TM2,OR(TH!L2931="1111",TH!M2931="1111")),TH!D2931,""),"")</f>
        <v/>
      </c>
      <c r="B2931" s="36">
        <f t="shared" si="157"/>
        <v>3</v>
      </c>
      <c r="C2931" s="37">
        <f t="shared" si="165"/>
        <v>40971</v>
      </c>
      <c r="D2931" s="37" t="s">
        <v>1738</v>
      </c>
      <c r="E2931" s="191">
        <v>40971</v>
      </c>
      <c r="F2931" s="40" t="s">
        <v>1482</v>
      </c>
      <c r="G2931" s="40" t="s">
        <v>941</v>
      </c>
      <c r="H2931" s="7" t="s">
        <v>1706</v>
      </c>
      <c r="I2931" s="252">
        <v>100</v>
      </c>
      <c r="J2931" s="252">
        <v>25884.018268409287</v>
      </c>
      <c r="K2931" s="38">
        <f t="shared" si="166"/>
        <v>2588402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6" ht="15.75" customHeight="1">
      <c r="A2932" s="204" t="str">
        <f>IF(B2932&lt;&gt;"",IF(AND(B2932&gt;=_TM1,B2932&lt;=_TM2,OR(TH!L2932="1111",TH!M2932="1111")),TH!D2932,""),"")</f>
        <v/>
      </c>
      <c r="B2932" s="36">
        <f t="shared" si="157"/>
        <v>3</v>
      </c>
      <c r="C2932" s="37">
        <f t="shared" si="165"/>
        <v>40971</v>
      </c>
      <c r="D2932" s="37" t="s">
        <v>1738</v>
      </c>
      <c r="E2932" s="191">
        <v>40971</v>
      </c>
      <c r="F2932" s="40" t="s">
        <v>1483</v>
      </c>
      <c r="G2932" s="40" t="s">
        <v>941</v>
      </c>
      <c r="H2932" s="7" t="s">
        <v>1706</v>
      </c>
      <c r="I2932" s="252">
        <v>47</v>
      </c>
      <c r="J2932" s="252">
        <v>16742.91188543056</v>
      </c>
      <c r="K2932" s="38">
        <f t="shared" si="166"/>
        <v>786917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6" ht="15.75" customHeight="1">
      <c r="A2933" s="204" t="str">
        <f>IF(B2933&lt;&gt;"",IF(AND(B2933&gt;=_TM1,B2933&lt;=_TM2,OR(TH!L2933="1111",TH!M2933="1111")),TH!D2933,""),"")</f>
        <v/>
      </c>
      <c r="B2933" s="36">
        <f t="shared" si="157"/>
        <v>3</v>
      </c>
      <c r="C2933" s="37">
        <f t="shared" si="165"/>
        <v>40971</v>
      </c>
      <c r="D2933" s="37" t="s">
        <v>1738</v>
      </c>
      <c r="E2933" s="191">
        <v>40971</v>
      </c>
      <c r="F2933" s="40" t="s">
        <v>1111</v>
      </c>
      <c r="G2933" s="40" t="s">
        <v>941</v>
      </c>
      <c r="H2933" s="7" t="s">
        <v>1706</v>
      </c>
      <c r="I2933" s="252">
        <v>30</v>
      </c>
      <c r="J2933" s="252">
        <v>1963.1849350759517</v>
      </c>
      <c r="K2933" s="38">
        <f t="shared" si="166"/>
        <v>58896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6" ht="15.75" customHeight="1">
      <c r="A2934" s="204" t="str">
        <f>IF(B2934&lt;&gt;"",IF(AND(B2934&gt;=_TM1,B2934&lt;=_TM2,OR(TH!L2934="1111",TH!M2934="1111")),TH!D2934,""),"")</f>
        <v/>
      </c>
      <c r="B2934" s="36">
        <f t="shared" si="157"/>
        <v>3</v>
      </c>
      <c r="C2934" s="37">
        <f t="shared" si="165"/>
        <v>40971</v>
      </c>
      <c r="D2934" s="37" t="s">
        <v>1738</v>
      </c>
      <c r="E2934" s="191">
        <v>40971</v>
      </c>
      <c r="F2934" s="40" t="s">
        <v>1484</v>
      </c>
      <c r="G2934" s="40" t="s">
        <v>941</v>
      </c>
      <c r="H2934" s="7" t="s">
        <v>1706</v>
      </c>
      <c r="I2934" s="252">
        <v>20</v>
      </c>
      <c r="J2934" s="252">
        <v>34556.01826840928</v>
      </c>
      <c r="K2934" s="38">
        <f t="shared" si="166"/>
        <v>691120</v>
      </c>
      <c r="L2934" s="39" t="s">
        <v>183</v>
      </c>
      <c r="M2934" s="39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</row>
    <row r="2935" spans="1:26" ht="15.75" customHeight="1">
      <c r="A2935" s="204" t="str">
        <f>IF(B2935&lt;&gt;"",IF(AND(B2935&gt;=_TM1,B2935&lt;=_TM2,OR(TH!L2935="1111",TH!M2935="1111")),TH!D2935,""),"")</f>
        <v/>
      </c>
      <c r="B2935" s="36">
        <f t="shared" si="157"/>
        <v>3</v>
      </c>
      <c r="C2935" s="37">
        <f t="shared" si="165"/>
        <v>40971</v>
      </c>
      <c r="D2935" s="37" t="s">
        <v>1738</v>
      </c>
      <c r="E2935" s="191">
        <v>40971</v>
      </c>
      <c r="F2935" s="40" t="s">
        <v>1485</v>
      </c>
      <c r="G2935" s="40" t="s">
        <v>941</v>
      </c>
      <c r="H2935" s="7" t="s">
        <v>1706</v>
      </c>
      <c r="I2935" s="252">
        <v>257</v>
      </c>
      <c r="J2935" s="252">
        <v>2565.0532878645377</v>
      </c>
      <c r="K2935" s="38">
        <f t="shared" si="166"/>
        <v>659219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</row>
    <row r="2936" spans="1:26" ht="15.75" customHeight="1">
      <c r="A2936" s="204" t="str">
        <f>IF(B2936&lt;&gt;"",IF(AND(B2936&gt;=_TM1,B2936&lt;=_TM2,OR(TH!L2936="1111",TH!M2936="1111")),TH!D2936,""),"")</f>
        <v/>
      </c>
      <c r="B2936" s="36">
        <f t="shared" si="157"/>
        <v>3</v>
      </c>
      <c r="C2936" s="37">
        <f t="shared" si="165"/>
        <v>40974</v>
      </c>
      <c r="D2936" s="37" t="s">
        <v>1738</v>
      </c>
      <c r="E2936" s="191">
        <v>40974</v>
      </c>
      <c r="F2936" s="40" t="s">
        <v>1490</v>
      </c>
      <c r="G2936" s="40" t="s">
        <v>942</v>
      </c>
      <c r="H2936" s="7" t="s">
        <v>1706</v>
      </c>
      <c r="I2936" s="252">
        <v>230</v>
      </c>
      <c r="J2936" s="252">
        <v>9876.8226162353731</v>
      </c>
      <c r="K2936" s="38">
        <f t="shared" si="166"/>
        <v>2271669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</row>
    <row r="2937" spans="1:26" ht="15.75" customHeight="1">
      <c r="A2937" s="204" t="str">
        <f>IF(B2937&lt;&gt;"",IF(AND(B2937&gt;=_TM1,B2937&lt;=_TM2,OR(TH!L2937="1111",TH!M2937="1111")),TH!D2937,""),"")</f>
        <v/>
      </c>
      <c r="B2937" s="36">
        <f t="shared" si="157"/>
        <v>3</v>
      </c>
      <c r="C2937" s="37">
        <f t="shared" si="165"/>
        <v>40974</v>
      </c>
      <c r="D2937" s="37" t="s">
        <v>1738</v>
      </c>
      <c r="E2937" s="191">
        <v>40974</v>
      </c>
      <c r="F2937" s="40" t="s">
        <v>1155</v>
      </c>
      <c r="G2937" s="40" t="s">
        <v>943</v>
      </c>
      <c r="H2937" s="7" t="s">
        <v>1706</v>
      </c>
      <c r="I2937" s="252">
        <v>100</v>
      </c>
      <c r="J2937" s="252">
        <v>17022.018268409283</v>
      </c>
      <c r="K2937" s="38">
        <f t="shared" si="166"/>
        <v>1702202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</row>
    <row r="2938" spans="1:26" ht="15.75" customHeight="1">
      <c r="A2938" s="204" t="str">
        <f>IF(B2938&lt;&gt;"",IF(AND(B2938&gt;=_TM1,B2938&lt;=_TM2,OR(TH!L2938="1111",TH!M2938="1111")),TH!D2938,""),"")</f>
        <v/>
      </c>
      <c r="B2938" s="36">
        <f t="shared" si="157"/>
        <v>3</v>
      </c>
      <c r="C2938" s="37">
        <f t="shared" si="165"/>
        <v>40977</v>
      </c>
      <c r="D2938" s="37" t="s">
        <v>1738</v>
      </c>
      <c r="E2938" s="191">
        <v>40977</v>
      </c>
      <c r="F2938" s="40" t="s">
        <v>1491</v>
      </c>
      <c r="G2938" s="40" t="s">
        <v>944</v>
      </c>
      <c r="H2938" s="7" t="s">
        <v>1706</v>
      </c>
      <c r="I2938" s="252">
        <v>497</v>
      </c>
      <c r="J2938" s="252">
        <v>12400.151065189968</v>
      </c>
      <c r="K2938" s="38">
        <f t="shared" si="166"/>
        <v>6162875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</row>
    <row r="2939" spans="1:26" ht="15.75" customHeight="1">
      <c r="A2939" s="204" t="str">
        <f>IF(B2939&lt;&gt;"",IF(AND(B2939&gt;=_TM1,B2939&lt;=_TM2,OR(TH!L2939="1111",TH!M2939="1111")),TH!D2939,""),"")</f>
        <v/>
      </c>
      <c r="B2939" s="36">
        <f t="shared" si="157"/>
        <v>3</v>
      </c>
      <c r="C2939" s="37">
        <f t="shared" si="165"/>
        <v>40978</v>
      </c>
      <c r="D2939" s="37" t="s">
        <v>1738</v>
      </c>
      <c r="E2939" s="191">
        <v>40978</v>
      </c>
      <c r="F2939" s="40" t="s">
        <v>1492</v>
      </c>
      <c r="G2939" s="40" t="s">
        <v>912</v>
      </c>
      <c r="H2939" s="7" t="s">
        <v>1706</v>
      </c>
      <c r="I2939" s="252">
        <v>1277</v>
      </c>
      <c r="J2939" s="252">
        <v>1753.5452848540772</v>
      </c>
      <c r="K2939" s="38">
        <f t="shared" si="166"/>
        <v>2239277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</row>
    <row r="2940" spans="1:26" ht="15.75" customHeight="1">
      <c r="A2940" s="204" t="str">
        <f>IF(B2940&lt;&gt;"",IF(AND(B2940&gt;=_TM1,B2940&lt;=_TM2,OR(TH!L2940="1111",TH!M2940="1111")),TH!D2940,""),"")</f>
        <v/>
      </c>
      <c r="B2940" s="36">
        <f t="shared" si="157"/>
        <v>3</v>
      </c>
      <c r="C2940" s="37">
        <f t="shared" si="165"/>
        <v>40978</v>
      </c>
      <c r="D2940" s="37" t="s">
        <v>1738</v>
      </c>
      <c r="E2940" s="191">
        <v>40978</v>
      </c>
      <c r="F2940" s="40" t="s">
        <v>1493</v>
      </c>
      <c r="G2940" s="40" t="s">
        <v>912</v>
      </c>
      <c r="H2940" s="7" t="s">
        <v>1706</v>
      </c>
      <c r="I2940" s="252">
        <v>1305</v>
      </c>
      <c r="J2940" s="252">
        <v>6226.6037090223117</v>
      </c>
      <c r="K2940" s="38">
        <f t="shared" si="166"/>
        <v>8125718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</row>
    <row r="2941" spans="1:26" ht="15.75" customHeight="1">
      <c r="A2941" s="204" t="str">
        <f>IF(B2941&lt;&gt;"",IF(AND(B2941&gt;=_TM1,B2941&lt;=_TM2,OR(TH!L2941="1111",TH!M2941="1111")),TH!D2941,""),"")</f>
        <v/>
      </c>
      <c r="B2941" s="36">
        <f t="shared" si="157"/>
        <v>3</v>
      </c>
      <c r="C2941" s="37">
        <f t="shared" si="165"/>
        <v>40978</v>
      </c>
      <c r="D2941" s="37" t="s">
        <v>1738</v>
      </c>
      <c r="E2941" s="191">
        <v>40978</v>
      </c>
      <c r="F2941" s="40" t="s">
        <v>1494</v>
      </c>
      <c r="G2941" s="40" t="s">
        <v>912</v>
      </c>
      <c r="H2941" s="7" t="s">
        <v>1706</v>
      </c>
      <c r="I2941" s="252">
        <v>301</v>
      </c>
      <c r="J2941" s="252">
        <v>6819.2541488079569</v>
      </c>
      <c r="K2941" s="38">
        <f t="shared" si="166"/>
        <v>2052595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</row>
    <row r="2942" spans="1:26" ht="15.75" customHeight="1">
      <c r="A2942" s="204" t="str">
        <f>IF(B2942&lt;&gt;"",IF(AND(B2942&gt;=_TM1,B2942&lt;=_TM2,OR(TH!L2942="1111",TH!M2942="1111")),TH!D2942,""),"")</f>
        <v/>
      </c>
      <c r="B2942" s="36">
        <f t="shared" si="157"/>
        <v>3</v>
      </c>
      <c r="C2942" s="37">
        <f t="shared" si="165"/>
        <v>40978</v>
      </c>
      <c r="D2942" s="37" t="s">
        <v>1738</v>
      </c>
      <c r="E2942" s="191">
        <v>40978</v>
      </c>
      <c r="F2942" s="40" t="s">
        <v>1131</v>
      </c>
      <c r="G2942" s="40" t="s">
        <v>912</v>
      </c>
      <c r="H2942" s="7" t="s">
        <v>1706</v>
      </c>
      <c r="I2942" s="252">
        <v>220</v>
      </c>
      <c r="J2942" s="252">
        <v>6480.2909956820131</v>
      </c>
      <c r="K2942" s="38">
        <f t="shared" si="166"/>
        <v>1425664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</row>
    <row r="2943" spans="1:26" ht="15.75" customHeight="1">
      <c r="A2943" s="204" t="str">
        <f>IF(B2943&lt;&gt;"",IF(AND(B2943&gt;=_TM1,B2943&lt;=_TM2,OR(TH!L2943="1111",TH!M2943="1111")),TH!D2943,""),"")</f>
        <v/>
      </c>
      <c r="B2943" s="36">
        <f t="shared" si="157"/>
        <v>3</v>
      </c>
      <c r="C2943" s="37">
        <f t="shared" si="165"/>
        <v>40980</v>
      </c>
      <c r="D2943" s="37" t="s">
        <v>1738</v>
      </c>
      <c r="E2943" s="191">
        <v>40980</v>
      </c>
      <c r="F2943" s="40" t="s">
        <v>1143</v>
      </c>
      <c r="G2943" s="40" t="s">
        <v>946</v>
      </c>
      <c r="H2943" s="7" t="s">
        <v>1706</v>
      </c>
      <c r="I2943" s="252">
        <v>991</v>
      </c>
      <c r="J2943" s="252">
        <v>10523.265493434512</v>
      </c>
      <c r="K2943" s="38">
        <f t="shared" si="166"/>
        <v>10428556</v>
      </c>
      <c r="L2943" s="39" t="s">
        <v>183</v>
      </c>
      <c r="M2943" s="39" t="s">
        <v>177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</row>
    <row r="2944" spans="1:26" ht="15.75" customHeight="1">
      <c r="A2944" s="204" t="str">
        <f>IF(B2944&lt;&gt;"",IF(AND(B2944&gt;=_TM1,B2944&lt;=_TM2,OR(TH!L2944="1111",TH!M2944="1111")),TH!D2944,""),"")</f>
        <v/>
      </c>
      <c r="B2944" s="36">
        <f t="shared" si="157"/>
        <v>3</v>
      </c>
      <c r="C2944" s="37">
        <f t="shared" si="165"/>
        <v>40980</v>
      </c>
      <c r="D2944" s="37" t="s">
        <v>1738</v>
      </c>
      <c r="E2944" s="191">
        <v>40980</v>
      </c>
      <c r="F2944" s="40" t="s">
        <v>1033</v>
      </c>
      <c r="G2944" s="40" t="s">
        <v>947</v>
      </c>
      <c r="H2944" s="7" t="s">
        <v>1706</v>
      </c>
      <c r="I2944" s="252">
        <v>701</v>
      </c>
      <c r="J2944" s="252">
        <v>6805.1937320326815</v>
      </c>
      <c r="K2944" s="38">
        <f t="shared" si="166"/>
        <v>4770441</v>
      </c>
      <c r="L2944" s="39" t="s">
        <v>183</v>
      </c>
      <c r="M2944" s="39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</row>
    <row r="2945" spans="1:26" ht="15.75" customHeight="1">
      <c r="A2945" s="204" t="str">
        <f>IF(B2945&lt;&gt;"",IF(AND(B2945&gt;=_TM1,B2945&lt;=_TM2,OR(TH!L2945="1111",TH!M2945="1111")),TH!D2945,""),"")</f>
        <v/>
      </c>
      <c r="B2945" s="36">
        <f t="shared" si="157"/>
        <v>3</v>
      </c>
      <c r="C2945" s="37">
        <f t="shared" si="165"/>
        <v>40980</v>
      </c>
      <c r="D2945" s="37" t="s">
        <v>1738</v>
      </c>
      <c r="E2945" s="191">
        <v>40980</v>
      </c>
      <c r="F2945" s="40" t="s">
        <v>1169</v>
      </c>
      <c r="G2945" s="40" t="s">
        <v>947</v>
      </c>
      <c r="H2945" s="7" t="s">
        <v>1706</v>
      </c>
      <c r="I2945" s="252">
        <v>299</v>
      </c>
      <c r="J2945" s="252">
        <v>7474.3393386433982</v>
      </c>
      <c r="K2945" s="38">
        <f t="shared" si="166"/>
        <v>2234827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</row>
    <row r="2946" spans="1:26" ht="15.75" customHeight="1">
      <c r="A2946" s="204" t="str">
        <f>IF(B2946&lt;&gt;"",IF(AND(B2946&gt;=_TM1,B2946&lt;=_TM2,OR(TH!L2946="1111",TH!M2946="1111")),TH!D2946,""),"")</f>
        <v/>
      </c>
      <c r="B2946" s="36">
        <f t="shared" si="157"/>
        <v>3</v>
      </c>
      <c r="C2946" s="37">
        <f t="shared" si="165"/>
        <v>40980</v>
      </c>
      <c r="D2946" s="37" t="s">
        <v>1738</v>
      </c>
      <c r="E2946" s="191">
        <v>40980</v>
      </c>
      <c r="F2946" s="40" t="s">
        <v>1095</v>
      </c>
      <c r="G2946" s="40" t="s">
        <v>947</v>
      </c>
      <c r="H2946" s="7" t="s">
        <v>1706</v>
      </c>
      <c r="I2946" s="252">
        <v>56</v>
      </c>
      <c r="J2946" s="252">
        <v>7395.5182684092852</v>
      </c>
      <c r="K2946" s="38">
        <f t="shared" si="166"/>
        <v>414149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</row>
    <row r="2947" spans="1:26" ht="15.75" customHeight="1">
      <c r="A2947" s="204" t="str">
        <f>IF(B2947&lt;&gt;"",IF(AND(B2947&gt;=_TM1,B2947&lt;=_TM2,OR(TH!L2947="1111",TH!M2947="1111")),TH!D2947,""),"")</f>
        <v/>
      </c>
      <c r="B2947" s="36">
        <f t="shared" si="157"/>
        <v>3</v>
      </c>
      <c r="C2947" s="37">
        <f t="shared" si="165"/>
        <v>40980</v>
      </c>
      <c r="D2947" s="37" t="s">
        <v>1738</v>
      </c>
      <c r="E2947" s="191">
        <v>40980</v>
      </c>
      <c r="F2947" s="40" t="s">
        <v>1168</v>
      </c>
      <c r="G2947" s="40" t="s">
        <v>947</v>
      </c>
      <c r="H2947" s="7" t="s">
        <v>1706</v>
      </c>
      <c r="I2947" s="252">
        <v>68</v>
      </c>
      <c r="J2947" s="252">
        <v>9077.1359154681104</v>
      </c>
      <c r="K2947" s="38">
        <f t="shared" si="166"/>
        <v>617245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</row>
    <row r="2948" spans="1:26" ht="15.75" customHeight="1">
      <c r="A2948" s="204" t="str">
        <f>IF(B2948&lt;&gt;"",IF(AND(B2948&gt;=_TM1,B2948&lt;=_TM2,OR(TH!L2948="1111",TH!M2948="1111")),TH!D2948,""),"")</f>
        <v/>
      </c>
      <c r="B2948" s="36">
        <f t="shared" si="157"/>
        <v>3</v>
      </c>
      <c r="C2948" s="37">
        <f t="shared" si="165"/>
        <v>40980</v>
      </c>
      <c r="D2948" s="37" t="s">
        <v>1738</v>
      </c>
      <c r="E2948" s="191">
        <v>40980</v>
      </c>
      <c r="F2948" s="40" t="s">
        <v>1069</v>
      </c>
      <c r="G2948" s="40" t="s">
        <v>947</v>
      </c>
      <c r="H2948" s="7" t="s">
        <v>1706</v>
      </c>
      <c r="I2948" s="252">
        <v>108</v>
      </c>
      <c r="J2948" s="252">
        <v>7187.6941943352113</v>
      </c>
      <c r="K2948" s="38">
        <f t="shared" si="166"/>
        <v>776271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</row>
    <row r="2949" spans="1:26" ht="15.75" customHeight="1">
      <c r="A2949" s="204" t="str">
        <f>IF(B2949&lt;&gt;"",IF(AND(B2949&gt;=_TM1,B2949&lt;=_TM2,OR(TH!L2949="1111",TH!M2949="1111")),TH!D2949,""),"")</f>
        <v/>
      </c>
      <c r="B2949" s="36">
        <f t="shared" si="157"/>
        <v>3</v>
      </c>
      <c r="C2949" s="37">
        <f t="shared" si="165"/>
        <v>40988</v>
      </c>
      <c r="D2949" s="37" t="s">
        <v>1738</v>
      </c>
      <c r="E2949" s="191">
        <v>40988</v>
      </c>
      <c r="F2949" s="40" t="s">
        <v>1238</v>
      </c>
      <c r="G2949" s="40" t="s">
        <v>949</v>
      </c>
      <c r="H2949" s="7" t="s">
        <v>1706</v>
      </c>
      <c r="I2949" s="252">
        <v>2985</v>
      </c>
      <c r="J2949" s="252">
        <v>5071.653109280307</v>
      </c>
      <c r="K2949" s="38">
        <f t="shared" si="166"/>
        <v>15138885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</row>
    <row r="2950" spans="1:26" ht="15.75" customHeight="1">
      <c r="A2950" s="204" t="str">
        <f>IF(B2950&lt;&gt;"",IF(AND(B2950&gt;=_TM1,B2950&lt;=_TM2,OR(TH!L2950="1111",TH!M2950="1111")),TH!D2950,""),"")</f>
        <v/>
      </c>
      <c r="B2950" s="36">
        <f t="shared" si="157"/>
        <v>3</v>
      </c>
      <c r="C2950" s="37">
        <f t="shared" si="165"/>
        <v>40988</v>
      </c>
      <c r="D2950" s="37" t="s">
        <v>1738</v>
      </c>
      <c r="E2950" s="191">
        <v>40988</v>
      </c>
      <c r="F2950" s="40" t="s">
        <v>1166</v>
      </c>
      <c r="G2950" s="40" t="s">
        <v>949</v>
      </c>
      <c r="H2950" s="7" t="s">
        <v>1706</v>
      </c>
      <c r="I2950" s="252">
        <v>622</v>
      </c>
      <c r="J2950" s="252">
        <v>3582.7610336825965</v>
      </c>
      <c r="K2950" s="38">
        <f t="shared" si="166"/>
        <v>2228477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</row>
    <row r="2951" spans="1:26" ht="15.75" customHeight="1">
      <c r="A2951" s="204" t="str">
        <f>IF(B2951&lt;&gt;"",IF(AND(B2951&gt;=_TM1,B2951&lt;=_TM2,OR(TH!L2951="1111",TH!M2951="1111")),TH!D2951,""),"")</f>
        <v/>
      </c>
      <c r="B2951" s="36">
        <f t="shared" si="157"/>
        <v>3</v>
      </c>
      <c r="C2951" s="37">
        <f t="shared" si="165"/>
        <v>40989</v>
      </c>
      <c r="D2951" s="37" t="s">
        <v>1738</v>
      </c>
      <c r="E2951" s="191">
        <v>40989</v>
      </c>
      <c r="F2951" s="40" t="s">
        <v>1237</v>
      </c>
      <c r="G2951" s="40" t="s">
        <v>950</v>
      </c>
      <c r="H2951" s="7" t="s">
        <v>1706</v>
      </c>
      <c r="I2951" s="252">
        <v>1030</v>
      </c>
      <c r="J2951" s="252">
        <v>11223.027977147149</v>
      </c>
      <c r="K2951" s="38">
        <f t="shared" si="166"/>
        <v>11559719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</row>
    <row r="2952" spans="1:26" ht="15.75" customHeight="1">
      <c r="A2952" s="204" t="str">
        <f>IF(B2952&lt;&gt;"",IF(AND(B2952&gt;=_TM1,B2952&lt;=_TM2,OR(TH!L2952="1111",TH!M2952="1111")),TH!D2952,""),"")</f>
        <v/>
      </c>
      <c r="B2952" s="36">
        <f t="shared" si="157"/>
        <v>3</v>
      </c>
      <c r="C2952" s="37">
        <f t="shared" si="165"/>
        <v>40989</v>
      </c>
      <c r="D2952" s="37" t="s">
        <v>1738</v>
      </c>
      <c r="E2952" s="191">
        <v>40989</v>
      </c>
      <c r="F2952" s="40" t="s">
        <v>952</v>
      </c>
      <c r="G2952" s="40" t="s">
        <v>953</v>
      </c>
      <c r="H2952" s="7" t="s">
        <v>1706</v>
      </c>
      <c r="I2952" s="252">
        <v>210</v>
      </c>
      <c r="J2952" s="252">
        <v>21245.018268409287</v>
      </c>
      <c r="K2952" s="38">
        <f t="shared" si="166"/>
        <v>4461454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</row>
    <row r="2953" spans="1:26" ht="15.75" customHeight="1">
      <c r="A2953" s="204" t="str">
        <f>IF(B2953&lt;&gt;"",IF(AND(B2953&gt;=_TM1,B2953&lt;=_TM2,OR(TH!L2953="1111",TH!M2953="1111")),TH!D2953,""),"")</f>
        <v/>
      </c>
      <c r="B2953" s="36">
        <f t="shared" si="157"/>
        <v>3</v>
      </c>
      <c r="C2953" s="37">
        <f t="shared" si="165"/>
        <v>40989</v>
      </c>
      <c r="D2953" s="37" t="s">
        <v>1738</v>
      </c>
      <c r="E2953" s="191">
        <v>40989</v>
      </c>
      <c r="F2953" s="40" t="s">
        <v>1239</v>
      </c>
      <c r="G2953" s="40" t="s">
        <v>953</v>
      </c>
      <c r="H2953" s="7" t="s">
        <v>1706</v>
      </c>
      <c r="I2953" s="252">
        <v>210</v>
      </c>
      <c r="J2953" s="252">
        <v>3974.3992207902375</v>
      </c>
      <c r="K2953" s="38">
        <f t="shared" si="166"/>
        <v>834624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</row>
    <row r="2954" spans="1:26" ht="15.75" customHeight="1">
      <c r="A2954" s="204" t="str">
        <f>IF(B2954&lt;&gt;"",IF(AND(B2954&gt;=_TM1,B2954&lt;=_TM2,OR(TH!L2954="1111",TH!M2954="1111")),TH!D2954,""),"")</f>
        <v/>
      </c>
      <c r="B2954" s="36">
        <f t="shared" si="157"/>
        <v>3</v>
      </c>
      <c r="C2954" s="37">
        <f t="shared" si="165"/>
        <v>40989</v>
      </c>
      <c r="D2954" s="37" t="s">
        <v>1738</v>
      </c>
      <c r="E2954" s="191">
        <v>40989</v>
      </c>
      <c r="F2954" s="40" t="s">
        <v>1206</v>
      </c>
      <c r="G2954" s="40" t="s">
        <v>955</v>
      </c>
      <c r="H2954" s="7" t="s">
        <v>1706</v>
      </c>
      <c r="I2954" s="252">
        <v>308</v>
      </c>
      <c r="J2954" s="252">
        <v>15476.070216461232</v>
      </c>
      <c r="K2954" s="38">
        <f t="shared" si="166"/>
        <v>4766630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</row>
    <row r="2955" spans="1:26" ht="15.75" customHeight="1">
      <c r="A2955" s="204" t="str">
        <f>IF(B2955&lt;&gt;"",IF(AND(B2955&gt;=_TM1,B2955&lt;=_TM2,OR(TH!L2955="1111",TH!M2955="1111")),TH!D2955,""),"")</f>
        <v/>
      </c>
      <c r="B2955" s="36">
        <f t="shared" si="157"/>
        <v>3</v>
      </c>
      <c r="C2955" s="37">
        <f t="shared" si="165"/>
        <v>40995</v>
      </c>
      <c r="D2955" s="37" t="s">
        <v>1738</v>
      </c>
      <c r="E2955" s="191">
        <v>40995</v>
      </c>
      <c r="F2955" s="40" t="s">
        <v>1229</v>
      </c>
      <c r="G2955" s="40" t="s">
        <v>956</v>
      </c>
      <c r="H2955" s="7" t="s">
        <v>1706</v>
      </c>
      <c r="I2955" s="252">
        <v>2261</v>
      </c>
      <c r="J2955" s="252">
        <v>4601.9775784490903</v>
      </c>
      <c r="K2955" s="38">
        <f t="shared" si="166"/>
        <v>10405071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</row>
    <row r="2956" spans="1:26" ht="15.75" customHeight="1">
      <c r="A2956" s="204" t="str">
        <f>IF(B2956&lt;&gt;"",IF(AND(B2956&gt;=_TM1,B2956&lt;=_TM2,OR(TH!L2956="1111",TH!M2956="1111")),TH!D2956,""),"")</f>
        <v/>
      </c>
      <c r="B2956" s="36">
        <f t="shared" si="157"/>
        <v>3</v>
      </c>
      <c r="C2956" s="37">
        <f t="shared" si="165"/>
        <v>40995</v>
      </c>
      <c r="D2956" s="37" t="s">
        <v>1738</v>
      </c>
      <c r="E2956" s="191">
        <v>40995</v>
      </c>
      <c r="F2956" s="40" t="s">
        <v>1227</v>
      </c>
      <c r="G2956" s="40" t="s">
        <v>956</v>
      </c>
      <c r="H2956" s="7" t="s">
        <v>1706</v>
      </c>
      <c r="I2956" s="252">
        <v>103</v>
      </c>
      <c r="J2956" s="252">
        <v>8881.5619577296748</v>
      </c>
      <c r="K2956" s="38">
        <f t="shared" si="166"/>
        <v>914801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</row>
    <row r="2957" spans="1:26" ht="15.75" customHeight="1">
      <c r="A2957" s="204" t="str">
        <f>IF(B2957&lt;&gt;"",IF(AND(B2957&gt;=_TM1,B2957&lt;=_TM2,OR(TH!L2957="1111",TH!M2957="1111")),TH!D2957,""),"")</f>
        <v/>
      </c>
      <c r="B2957" s="36">
        <f t="shared" si="157"/>
        <v>3</v>
      </c>
      <c r="C2957" s="37">
        <f t="shared" si="165"/>
        <v>40995</v>
      </c>
      <c r="D2957" s="37" t="s">
        <v>1738</v>
      </c>
      <c r="E2957" s="191">
        <v>40995</v>
      </c>
      <c r="F2957" s="40" t="s">
        <v>1228</v>
      </c>
      <c r="G2957" s="40" t="s">
        <v>956</v>
      </c>
      <c r="H2957" s="7" t="s">
        <v>1706</v>
      </c>
      <c r="I2957" s="252">
        <v>400</v>
      </c>
      <c r="J2957" s="252">
        <v>2249.0182684092852</v>
      </c>
      <c r="K2957" s="38">
        <f t="shared" si="166"/>
        <v>899607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</row>
    <row r="2958" spans="1:26" ht="15.75" customHeight="1">
      <c r="A2958" s="204" t="str">
        <f>IF(B2958&lt;&gt;"",IF(AND(B2958&gt;=_TM1,B2958&lt;=_TM2,OR(TH!L2958="1111",TH!M2958="1111")),TH!D2958,""),"")</f>
        <v/>
      </c>
      <c r="B2958" s="36">
        <f t="shared" si="157"/>
        <v>3</v>
      </c>
      <c r="C2958" s="37">
        <f t="shared" si="165"/>
        <v>40996</v>
      </c>
      <c r="D2958" s="37" t="s">
        <v>1738</v>
      </c>
      <c r="E2958" s="191">
        <v>40996</v>
      </c>
      <c r="F2958" s="40" t="s">
        <v>1121</v>
      </c>
      <c r="G2958" s="40" t="s">
        <v>957</v>
      </c>
      <c r="H2958" s="7" t="s">
        <v>1706</v>
      </c>
      <c r="I2958" s="252">
        <v>1000</v>
      </c>
      <c r="J2958" s="252">
        <v>7385.6182684092855</v>
      </c>
      <c r="K2958" s="38">
        <f t="shared" si="166"/>
        <v>7385618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</row>
    <row r="2959" spans="1:26" ht="15.75" customHeight="1">
      <c r="A2959" s="204" t="str">
        <f>IF(B2959&lt;&gt;"",IF(AND(B2959&gt;=_TM1,B2959&lt;=_TM2,OR(TH!L2959="1111",TH!M2959="1111")),TH!D2959,""),"")</f>
        <v/>
      </c>
      <c r="B2959" s="36">
        <f t="shared" si="157"/>
        <v>3</v>
      </c>
      <c r="C2959" s="37">
        <f t="shared" si="165"/>
        <v>40998</v>
      </c>
      <c r="D2959" s="37" t="s">
        <v>1738</v>
      </c>
      <c r="E2959" s="191">
        <v>40998</v>
      </c>
      <c r="F2959" s="40" t="s">
        <v>1225</v>
      </c>
      <c r="G2959" s="40" t="s">
        <v>959</v>
      </c>
      <c r="H2959" s="7" t="s">
        <v>1706</v>
      </c>
      <c r="I2959" s="252">
        <v>64</v>
      </c>
      <c r="J2959" s="252">
        <v>13907.393268409285</v>
      </c>
      <c r="K2959" s="38">
        <f t="shared" si="166"/>
        <v>890073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</row>
    <row r="2960" spans="1:26" ht="15.75" customHeight="1">
      <c r="A2960" s="204" t="str">
        <f>IF(B2960&lt;&gt;"",IF(AND(B2960&gt;=_TM1,B2960&lt;=_TM2,OR(TH!L2960="1111",TH!M2960="1111")),TH!D2960,""),"")</f>
        <v/>
      </c>
      <c r="B2960" s="36">
        <f t="shared" si="157"/>
        <v>3</v>
      </c>
      <c r="C2960" s="37">
        <f t="shared" si="165"/>
        <v>40998</v>
      </c>
      <c r="D2960" s="37" t="s">
        <v>1738</v>
      </c>
      <c r="E2960" s="191">
        <v>40998</v>
      </c>
      <c r="F2960" s="40" t="s">
        <v>1224</v>
      </c>
      <c r="G2960" s="40" t="s">
        <v>961</v>
      </c>
      <c r="H2960" s="7" t="s">
        <v>1706</v>
      </c>
      <c r="I2960" s="252">
        <v>253</v>
      </c>
      <c r="J2960" s="252">
        <v>4623.789019397429</v>
      </c>
      <c r="K2960" s="38">
        <f t="shared" si="166"/>
        <v>1169819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</row>
    <row r="2961" spans="1:26" ht="15.75" customHeight="1">
      <c r="A2961" s="204" t="str">
        <f>IF(B2961&lt;&gt;"",IF(AND(B2961&gt;=_TM1,B2961&lt;=_TM2,OR(TH!L2961="1111",TH!M2961="1111")),TH!D2961,""),"")</f>
        <v/>
      </c>
      <c r="B2961" s="36">
        <f t="shared" si="157"/>
        <v>3</v>
      </c>
      <c r="C2961" s="37">
        <f t="shared" si="165"/>
        <v>40998</v>
      </c>
      <c r="D2961" s="37" t="s">
        <v>1738</v>
      </c>
      <c r="E2961" s="191">
        <v>40998</v>
      </c>
      <c r="F2961" s="40" t="s">
        <v>1223</v>
      </c>
      <c r="G2961" s="40" t="s">
        <v>961</v>
      </c>
      <c r="H2961" s="7" t="s">
        <v>1706</v>
      </c>
      <c r="I2961" s="252">
        <v>204</v>
      </c>
      <c r="J2961" s="252">
        <v>7167.7731703700683</v>
      </c>
      <c r="K2961" s="38">
        <f t="shared" si="166"/>
        <v>1462226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</row>
    <row r="2962" spans="1:26" ht="15.75" customHeight="1">
      <c r="A2962" s="204" t="str">
        <f>IF(B2962&lt;&gt;"",IF(AND(B2962&gt;=_TM1,B2962&lt;=_TM2,OR(TH!L2962="1111",TH!M2962="1111")),TH!D2962,""),"")</f>
        <v/>
      </c>
      <c r="B2962" s="36">
        <f t="shared" si="157"/>
        <v>3</v>
      </c>
      <c r="C2962" s="37">
        <f t="shared" si="165"/>
        <v>40998</v>
      </c>
      <c r="D2962" s="37" t="s">
        <v>1738</v>
      </c>
      <c r="E2962" s="191">
        <v>40998</v>
      </c>
      <c r="F2962" s="40" t="s">
        <v>1222</v>
      </c>
      <c r="G2962" s="40" t="s">
        <v>961</v>
      </c>
      <c r="H2962" s="7" t="s">
        <v>1706</v>
      </c>
      <c r="I2962" s="252">
        <v>2100</v>
      </c>
      <c r="J2962" s="252">
        <v>1765.698268409285</v>
      </c>
      <c r="K2962" s="38">
        <f t="shared" si="166"/>
        <v>3707966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</row>
    <row r="2963" spans="1:26" ht="15.75" customHeight="1">
      <c r="A2963" s="204" t="str">
        <f>IF(B2963&lt;&gt;"",IF(AND(B2963&gt;=_TM1,B2963&lt;=_TM2,OR(TH!L2963="1111",TH!M2963="1111")),TH!D2963,""),"")</f>
        <v/>
      </c>
      <c r="B2963" s="36">
        <f t="shared" si="157"/>
        <v>3</v>
      </c>
      <c r="C2963" s="37">
        <f t="shared" si="165"/>
        <v>40998</v>
      </c>
      <c r="D2963" s="37" t="s">
        <v>1738</v>
      </c>
      <c r="E2963" s="191">
        <v>40998</v>
      </c>
      <c r="F2963" s="40" t="s">
        <v>1542</v>
      </c>
      <c r="G2963" s="40" t="s">
        <v>962</v>
      </c>
      <c r="H2963" s="7" t="s">
        <v>1706</v>
      </c>
      <c r="I2963" s="252">
        <v>350</v>
      </c>
      <c r="J2963" s="252">
        <v>11142.018268409285</v>
      </c>
      <c r="K2963" s="38">
        <f t="shared" si="166"/>
        <v>3899706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</row>
    <row r="2964" spans="1:26" ht="15.75" customHeight="1">
      <c r="A2964" s="204" t="str">
        <f>IF(B2964&lt;&gt;"",IF(AND(B2964&gt;=_TM1,B2964&lt;=_TM2,OR(TH!L2964="1111",TH!M2964="1111")),TH!D2964,""),"")</f>
        <v/>
      </c>
      <c r="B2964" s="36">
        <f t="shared" si="157"/>
        <v>3</v>
      </c>
      <c r="C2964" s="37">
        <f t="shared" si="165"/>
        <v>40998</v>
      </c>
      <c r="D2964" s="37" t="s">
        <v>1738</v>
      </c>
      <c r="E2964" s="191">
        <v>40998</v>
      </c>
      <c r="F2964" s="40" t="s">
        <v>1543</v>
      </c>
      <c r="G2964" s="40" t="s">
        <v>962</v>
      </c>
      <c r="H2964" s="7" t="s">
        <v>1706</v>
      </c>
      <c r="I2964" s="252">
        <v>200</v>
      </c>
      <c r="J2964" s="252">
        <v>10172.018268409285</v>
      </c>
      <c r="K2964" s="38">
        <f t="shared" si="166"/>
        <v>2034404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</row>
    <row r="2965" spans="1:26" ht="15.75" customHeight="1">
      <c r="A2965" s="204" t="str">
        <f>IF(B2965&lt;&gt;"",IF(AND(B2965&gt;=_TM1,B2965&lt;=_TM2,OR(TH!L2965="1111",TH!M2965="1111")),TH!D2965,""),"")</f>
        <v/>
      </c>
      <c r="B2965" s="36">
        <f t="shared" si="157"/>
        <v>3</v>
      </c>
      <c r="C2965" s="37">
        <f t="shared" si="165"/>
        <v>40998</v>
      </c>
      <c r="D2965" s="37" t="s">
        <v>1738</v>
      </c>
      <c r="E2965" s="191">
        <v>40998</v>
      </c>
      <c r="F2965" s="40" t="s">
        <v>1544</v>
      </c>
      <c r="G2965" s="40" t="s">
        <v>962</v>
      </c>
      <c r="H2965" s="7" t="s">
        <v>1706</v>
      </c>
      <c r="I2965" s="252">
        <v>450</v>
      </c>
      <c r="J2965" s="252">
        <v>14230.418268409287</v>
      </c>
      <c r="K2965" s="38">
        <f t="shared" si="166"/>
        <v>6403688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</row>
    <row r="2966" spans="1:26" ht="15.75" customHeight="1">
      <c r="A2966" s="204" t="str">
        <f>IF(B2966&lt;&gt;"",IF(AND(B2966&gt;=_TM1,B2966&lt;=_TM2,OR(TH!L2966="1111",TH!M2966="1111")),TH!D2966,""),"")</f>
        <v/>
      </c>
      <c r="B2966" s="36">
        <f t="shared" si="157"/>
        <v>3</v>
      </c>
      <c r="C2966" s="37">
        <f t="shared" si="165"/>
        <v>40998</v>
      </c>
      <c r="D2966" s="37" t="s">
        <v>1738</v>
      </c>
      <c r="E2966" s="191">
        <v>40998</v>
      </c>
      <c r="F2966" s="40" t="s">
        <v>1536</v>
      </c>
      <c r="G2966" s="40" t="s">
        <v>962</v>
      </c>
      <c r="H2966" s="7" t="s">
        <v>1706</v>
      </c>
      <c r="I2966" s="252">
        <v>150</v>
      </c>
      <c r="J2966" s="252">
        <v>8200.3516017426191</v>
      </c>
      <c r="K2966" s="38">
        <f t="shared" si="166"/>
        <v>1230053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</row>
    <row r="2967" spans="1:26" ht="15.75" customHeight="1">
      <c r="A2967" s="204" t="str">
        <f>IF(B2967&lt;&gt;"",IF(AND(B2967&gt;=_TM1,B2967&lt;=_TM2,OR(TH!L2967="1111",TH!M2967="1111")),TH!D2967,""),"")</f>
        <v/>
      </c>
      <c r="B2967" s="36">
        <f t="shared" si="157"/>
        <v>3</v>
      </c>
      <c r="C2967" s="37">
        <f t="shared" si="165"/>
        <v>40998</v>
      </c>
      <c r="D2967" s="37" t="s">
        <v>1738</v>
      </c>
      <c r="E2967" s="191">
        <v>40998</v>
      </c>
      <c r="F2967" s="40" t="s">
        <v>1539</v>
      </c>
      <c r="G2967" s="40" t="s">
        <v>962</v>
      </c>
      <c r="H2967" s="7" t="s">
        <v>1706</v>
      </c>
      <c r="I2967" s="252">
        <v>90</v>
      </c>
      <c r="J2967" s="252">
        <v>8760.551601742618</v>
      </c>
      <c r="K2967" s="38">
        <f t="shared" si="166"/>
        <v>788450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</row>
    <row r="2968" spans="1:26" ht="15.75" customHeight="1">
      <c r="A2968" s="204" t="str">
        <f>IF(B2968&lt;&gt;"",IF(AND(B2968&gt;=_TM1,B2968&lt;=_TM2,OR(TH!L2968="1111",TH!M2968="1111")),TH!D2968,""),"")</f>
        <v/>
      </c>
      <c r="B2968" s="36">
        <f t="shared" si="157"/>
        <v>3</v>
      </c>
      <c r="C2968" s="37">
        <f t="shared" si="165"/>
        <v>40998</v>
      </c>
      <c r="D2968" s="37" t="s">
        <v>1738</v>
      </c>
      <c r="E2968" s="191">
        <v>40998</v>
      </c>
      <c r="F2968" s="40" t="s">
        <v>1503</v>
      </c>
      <c r="G2968" s="40" t="s">
        <v>962</v>
      </c>
      <c r="H2968" s="7" t="s">
        <v>1706</v>
      </c>
      <c r="I2968" s="252">
        <v>210</v>
      </c>
      <c r="J2968" s="252">
        <v>8465.3516017426191</v>
      </c>
      <c r="K2968" s="38">
        <f t="shared" si="166"/>
        <v>1777724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</row>
    <row r="2969" spans="1:26" ht="15.75" customHeight="1">
      <c r="A2969" s="204" t="str">
        <f>IF(B2969&lt;&gt;"",IF(AND(B2969&gt;=_TM1,B2969&lt;=_TM2,OR(TH!L2969="1111",TH!M2969="1111")),TH!D2969,""),"")</f>
        <v/>
      </c>
      <c r="B2969" s="36">
        <f t="shared" si="157"/>
        <v>3</v>
      </c>
      <c r="C2969" s="37">
        <f t="shared" si="165"/>
        <v>40998</v>
      </c>
      <c r="D2969" s="37" t="s">
        <v>1738</v>
      </c>
      <c r="E2969" s="191">
        <v>40998</v>
      </c>
      <c r="F2969" s="40" t="s">
        <v>1546</v>
      </c>
      <c r="G2969" s="40" t="s">
        <v>962</v>
      </c>
      <c r="H2969" s="7" t="s">
        <v>1706</v>
      </c>
      <c r="I2969" s="252">
        <v>27</v>
      </c>
      <c r="J2969" s="252">
        <v>16834.684935075951</v>
      </c>
      <c r="K2969" s="38">
        <f t="shared" si="166"/>
        <v>454536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</row>
    <row r="2970" spans="1:26" ht="15.75" customHeight="1">
      <c r="A2970" s="204" t="str">
        <f>IF(B2970&lt;&gt;"",IF(AND(B2970&gt;=_TM1,B2970&lt;=_TM2,OR(TH!L2970="1111",TH!M2970="1111")),TH!D2970,""),"")</f>
        <v/>
      </c>
      <c r="B2970" s="36">
        <f t="shared" si="157"/>
        <v>3</v>
      </c>
      <c r="C2970" s="37">
        <f t="shared" si="165"/>
        <v>40998</v>
      </c>
      <c r="D2970" s="37" t="s">
        <v>1738</v>
      </c>
      <c r="E2970" s="191">
        <v>40998</v>
      </c>
      <c r="F2970" s="40" t="s">
        <v>1515</v>
      </c>
      <c r="G2970" s="40" t="s">
        <v>962</v>
      </c>
      <c r="H2970" s="7" t="s">
        <v>1706</v>
      </c>
      <c r="I2970" s="252">
        <v>250</v>
      </c>
      <c r="J2970" s="252">
        <v>7623.8022684092857</v>
      </c>
      <c r="K2970" s="38">
        <f t="shared" si="166"/>
        <v>1905951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</row>
    <row r="2971" spans="1:26" ht="15.75" customHeight="1">
      <c r="A2971" s="204" t="str">
        <f>IF(B2971&lt;&gt;"",IF(AND(B2971&gt;=_TM1,B2971&lt;=_TM2,OR(TH!L2971="1111",TH!M2971="1111")),TH!D2971,""),"")</f>
        <v/>
      </c>
      <c r="B2971" s="36">
        <f t="shared" si="157"/>
        <v>3</v>
      </c>
      <c r="C2971" s="37">
        <f t="shared" si="165"/>
        <v>40998</v>
      </c>
      <c r="D2971" s="37" t="s">
        <v>1738</v>
      </c>
      <c r="E2971" s="191">
        <v>40998</v>
      </c>
      <c r="F2971" s="40" t="s">
        <v>1540</v>
      </c>
      <c r="G2971" s="40" t="s">
        <v>962</v>
      </c>
      <c r="H2971" s="7" t="s">
        <v>1706</v>
      </c>
      <c r="I2971" s="252">
        <v>100</v>
      </c>
      <c r="J2971" s="252">
        <v>11461.518268409283</v>
      </c>
      <c r="K2971" s="38">
        <f t="shared" si="166"/>
        <v>1146152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</row>
    <row r="2972" spans="1:26" ht="15.75" customHeight="1">
      <c r="A2972" s="204" t="str">
        <f>IF(B2972&lt;&gt;"",IF(AND(B2972&gt;=_TM1,B2972&lt;=_TM2,OR(TH!L2972="1111",TH!M2972="1111")),TH!D2972,""),"")</f>
        <v/>
      </c>
      <c r="B2972" s="36">
        <f t="shared" si="157"/>
        <v>3</v>
      </c>
      <c r="C2972" s="37">
        <f t="shared" si="165"/>
        <v>40998</v>
      </c>
      <c r="D2972" s="37" t="s">
        <v>1738</v>
      </c>
      <c r="E2972" s="191">
        <v>40998</v>
      </c>
      <c r="F2972" s="40" t="s">
        <v>1515</v>
      </c>
      <c r="G2972" s="40" t="s">
        <v>962</v>
      </c>
      <c r="H2972" s="7" t="s">
        <v>1706</v>
      </c>
      <c r="I2972" s="252">
        <v>200</v>
      </c>
      <c r="J2972" s="252">
        <v>8761.0182684092852</v>
      </c>
      <c r="K2972" s="38">
        <f t="shared" si="166"/>
        <v>1752204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</row>
    <row r="2973" spans="1:26" ht="15.75" customHeight="1">
      <c r="A2973" s="204" t="str">
        <f>IF(B2973&lt;&gt;"",IF(AND(B2973&gt;=_TM1,B2973&lt;=_TM2,OR(TH!L2973="1111",TH!M2973="1111")),TH!D2973,""),"")</f>
        <v/>
      </c>
      <c r="B2973" s="36">
        <f t="shared" si="157"/>
        <v>3</v>
      </c>
      <c r="C2973" s="37">
        <f t="shared" si="165"/>
        <v>40998</v>
      </c>
      <c r="D2973" s="37" t="s">
        <v>1738</v>
      </c>
      <c r="E2973" s="191">
        <v>40998</v>
      </c>
      <c r="F2973" s="40" t="s">
        <v>1545</v>
      </c>
      <c r="G2973" s="40" t="s">
        <v>962</v>
      </c>
      <c r="H2973" s="7" t="s">
        <v>1706</v>
      </c>
      <c r="I2973" s="252">
        <v>168</v>
      </c>
      <c r="J2973" s="252">
        <v>11577.988506504524</v>
      </c>
      <c r="K2973" s="38">
        <f t="shared" si="166"/>
        <v>1945102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</row>
    <row r="2974" spans="1:26" ht="15.75" customHeight="1">
      <c r="A2974" s="204" t="str">
        <f>IF(B2974&lt;&gt;"",IF(AND(B2974&gt;=_TM1,B2974&lt;=_TM2,OR(TH!L2974="1111",TH!M2974="1111")),TH!D2974,""),"")</f>
        <v/>
      </c>
      <c r="B2974" s="36">
        <f t="shared" si="157"/>
        <v>3</v>
      </c>
      <c r="C2974" s="37">
        <f t="shared" si="165"/>
        <v>40998</v>
      </c>
      <c r="D2974" s="37" t="s">
        <v>1738</v>
      </c>
      <c r="E2974" s="191">
        <v>40998</v>
      </c>
      <c r="F2974" s="40" t="s">
        <v>1542</v>
      </c>
      <c r="G2974" s="40" t="s">
        <v>963</v>
      </c>
      <c r="H2974" s="7" t="s">
        <v>1706</v>
      </c>
      <c r="I2974" s="252">
        <v>505</v>
      </c>
      <c r="J2974" s="252">
        <v>11486.17668425087</v>
      </c>
      <c r="K2974" s="38">
        <f t="shared" si="166"/>
        <v>5800519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</row>
    <row r="2975" spans="1:26" ht="15.75" customHeight="1">
      <c r="A2975" s="204" t="str">
        <f>IF(B2975&lt;&gt;"",IF(AND(B2975&gt;=_TM1,B2975&lt;=_TM2,OR(TH!L2975="1111",TH!M2975="1111")),TH!D2975,""),"")</f>
        <v/>
      </c>
      <c r="B2975" s="36">
        <f t="shared" si="157"/>
        <v>3</v>
      </c>
      <c r="C2975" s="37">
        <f t="shared" si="165"/>
        <v>40998</v>
      </c>
      <c r="D2975" s="37" t="s">
        <v>1738</v>
      </c>
      <c r="E2975" s="191">
        <v>40998</v>
      </c>
      <c r="F2975" s="40" t="s">
        <v>1543</v>
      </c>
      <c r="G2975" s="40" t="s">
        <v>963</v>
      </c>
      <c r="H2975" s="7" t="s">
        <v>1706</v>
      </c>
      <c r="I2975" s="252">
        <v>266</v>
      </c>
      <c r="J2975" s="252">
        <v>13006.025787206278</v>
      </c>
      <c r="K2975" s="38">
        <f t="shared" si="166"/>
        <v>3459603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</row>
    <row r="2976" spans="1:26" ht="15.75" customHeight="1">
      <c r="A2976" s="204" t="str">
        <f>IF(B2976&lt;&gt;"",IF(AND(B2976&gt;=_TM1,B2976&lt;=_TM2,OR(TH!L2976="1111",TH!M2976="1111")),TH!D2976,""),"")</f>
        <v/>
      </c>
      <c r="B2976" s="36">
        <f t="shared" si="157"/>
        <v>3</v>
      </c>
      <c r="C2976" s="37">
        <f t="shared" si="165"/>
        <v>40998</v>
      </c>
      <c r="D2976" s="37" t="s">
        <v>1738</v>
      </c>
      <c r="E2976" s="191">
        <v>40998</v>
      </c>
      <c r="F2976" s="40" t="s">
        <v>1544</v>
      </c>
      <c r="G2976" s="40" t="s">
        <v>963</v>
      </c>
      <c r="H2976" s="7" t="s">
        <v>1706</v>
      </c>
      <c r="I2976" s="252">
        <v>860</v>
      </c>
      <c r="J2976" s="252">
        <v>14466.506640502306</v>
      </c>
      <c r="K2976" s="38">
        <f t="shared" si="166"/>
        <v>12441196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</row>
    <row r="2977" spans="1:26" ht="15.75" customHeight="1">
      <c r="A2977" s="204" t="str">
        <f>IF(B2977&lt;&gt;"",IF(AND(B2977&gt;=_TM1,B2977&lt;=_TM2,OR(TH!L2977="1111",TH!M2977="1111")),TH!D2977,""),"")</f>
        <v/>
      </c>
      <c r="B2977" s="36">
        <f t="shared" si="157"/>
        <v>3</v>
      </c>
      <c r="C2977" s="37">
        <f t="shared" si="165"/>
        <v>40998</v>
      </c>
      <c r="D2977" s="37" t="s">
        <v>1738</v>
      </c>
      <c r="E2977" s="191">
        <v>40998</v>
      </c>
      <c r="F2977" s="40" t="s">
        <v>1221</v>
      </c>
      <c r="G2977" s="40" t="s">
        <v>964</v>
      </c>
      <c r="H2977" s="7" t="s">
        <v>1706</v>
      </c>
      <c r="I2977" s="252">
        <v>425</v>
      </c>
      <c r="J2977" s="252">
        <v>9169.1947389975194</v>
      </c>
      <c r="K2977" s="38">
        <f t="shared" si="166"/>
        <v>3896908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</row>
    <row r="2978" spans="1:26" ht="15.75" customHeight="1">
      <c r="A2978" s="204" t="str">
        <f>IF(B2978&lt;&gt;"",IF(AND(B2978&gt;=_TM1,B2978&lt;=_TM2,OR(TH!L2978="1111",TH!M2978="1111")),TH!D2978,""),"")</f>
        <v/>
      </c>
      <c r="B2978" s="36">
        <f t="shared" si="157"/>
        <v>3</v>
      </c>
      <c r="C2978" s="37">
        <f t="shared" si="165"/>
        <v>40998</v>
      </c>
      <c r="D2978" s="37" t="s">
        <v>1738</v>
      </c>
      <c r="E2978" s="191">
        <v>40998</v>
      </c>
      <c r="F2978" s="40" t="s">
        <v>1481</v>
      </c>
      <c r="G2978" s="40" t="s">
        <v>1561</v>
      </c>
      <c r="H2978" s="7" t="s">
        <v>1706</v>
      </c>
      <c r="I2978" s="252">
        <v>10</v>
      </c>
      <c r="J2978" s="252">
        <v>33129.01826840928</v>
      </c>
      <c r="K2978" s="38">
        <f t="shared" si="166"/>
        <v>331290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</row>
    <row r="2979" spans="1:26" ht="15.75" customHeight="1">
      <c r="A2979" s="204" t="str">
        <f>IF(B2979&lt;&gt;"",IF(AND(B2979&gt;=_TM1,B2979&lt;=_TM2,OR(TH!L2979="1111",TH!M2979="1111")),TH!D2979,""),"")</f>
        <v/>
      </c>
      <c r="B2979" s="36">
        <f t="shared" si="157"/>
        <v>3</v>
      </c>
      <c r="C2979" s="37">
        <f t="shared" si="165"/>
        <v>40998</v>
      </c>
      <c r="D2979" s="37" t="s">
        <v>1738</v>
      </c>
      <c r="E2979" s="191">
        <v>40998</v>
      </c>
      <c r="F2979" s="40" t="s">
        <v>1483</v>
      </c>
      <c r="G2979" s="40" t="s">
        <v>1561</v>
      </c>
      <c r="H2979" s="7" t="s">
        <v>1706</v>
      </c>
      <c r="I2979" s="252">
        <v>50</v>
      </c>
      <c r="J2979" s="252">
        <v>17854.018268409283</v>
      </c>
      <c r="K2979" s="38">
        <f t="shared" si="166"/>
        <v>892701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</row>
    <row r="2980" spans="1:26" ht="15.75" customHeight="1">
      <c r="A2980" s="204" t="str">
        <f>IF(B2980&lt;&gt;"",IF(AND(B2980&gt;=_TM1,B2980&lt;=_TM2,OR(TH!L2980="1111",TH!M2980="1111")),TH!D2980,""),"")</f>
        <v/>
      </c>
      <c r="B2980" s="36">
        <f t="shared" si="157"/>
        <v>3</v>
      </c>
      <c r="C2980" s="37">
        <f t="shared" si="165"/>
        <v>40998</v>
      </c>
      <c r="D2980" s="37" t="s">
        <v>1738</v>
      </c>
      <c r="E2980" s="191">
        <v>40998</v>
      </c>
      <c r="F2980" s="40" t="s">
        <v>1484</v>
      </c>
      <c r="G2980" s="40" t="s">
        <v>1561</v>
      </c>
      <c r="H2980" s="7" t="s">
        <v>1706</v>
      </c>
      <c r="I2980" s="252">
        <v>75</v>
      </c>
      <c r="J2980" s="252">
        <v>34556.018268409287</v>
      </c>
      <c r="K2980" s="38">
        <f t="shared" si="166"/>
        <v>2591701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</row>
    <row r="2981" spans="1:26" ht="15.75" customHeight="1">
      <c r="A2981" s="204" t="str">
        <f>IF(B2981&lt;&gt;"",IF(AND(B2981&gt;=_TM1,B2981&lt;=_TM2,OR(TH!L2981="1111",TH!M2981="1111")),TH!D2981,""),"")</f>
        <v/>
      </c>
      <c r="B2981" s="36">
        <f t="shared" si="157"/>
        <v>3</v>
      </c>
      <c r="C2981" s="37">
        <f t="shared" si="165"/>
        <v>40998</v>
      </c>
      <c r="D2981" s="37" t="s">
        <v>1738</v>
      </c>
      <c r="E2981" s="191">
        <v>40998</v>
      </c>
      <c r="F2981" s="40" t="s">
        <v>1235</v>
      </c>
      <c r="G2981" s="40" t="s">
        <v>1561</v>
      </c>
      <c r="H2981" s="7" t="s">
        <v>1706</v>
      </c>
      <c r="I2981" s="252">
        <v>150</v>
      </c>
      <c r="J2981" s="252">
        <v>28620.018268409283</v>
      </c>
      <c r="K2981" s="38">
        <f t="shared" si="166"/>
        <v>4293003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</row>
    <row r="2982" spans="1:26" ht="15.75" customHeight="1">
      <c r="A2982" s="204" t="str">
        <f>IF(B2982&lt;&gt;"",IF(AND(B2982&gt;=_TM1,B2982&lt;=_TM2,OR(TH!L2982="1111",TH!M2982="1111")),TH!D2982,""),"")</f>
        <v/>
      </c>
      <c r="B2982" s="36">
        <f t="shared" si="157"/>
        <v>3</v>
      </c>
      <c r="C2982" s="37">
        <f t="shared" si="165"/>
        <v>40998</v>
      </c>
      <c r="D2982" s="37" t="s">
        <v>1738</v>
      </c>
      <c r="E2982" s="191">
        <v>40998</v>
      </c>
      <c r="F2982" s="40" t="s">
        <v>1236</v>
      </c>
      <c r="G2982" s="40" t="s">
        <v>1561</v>
      </c>
      <c r="H2982" s="7" t="s">
        <v>1706</v>
      </c>
      <c r="I2982" s="252">
        <v>410</v>
      </c>
      <c r="J2982" s="252">
        <v>2127.1109513361143</v>
      </c>
      <c r="K2982" s="38">
        <f t="shared" si="166"/>
        <v>872115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</row>
    <row r="2983" spans="1:26" ht="15.75" customHeight="1">
      <c r="A2983" s="204" t="str">
        <f>IF(B2983&lt;&gt;"",IF(AND(B2983&gt;=_TM1,B2983&lt;=_TM2,OR(TH!L2983="1111",TH!M2983="1111")),TH!D2983,""),"")</f>
        <v/>
      </c>
      <c r="B2983" s="36">
        <f t="shared" si="157"/>
        <v>3</v>
      </c>
      <c r="C2983" s="37">
        <f t="shared" si="165"/>
        <v>40998</v>
      </c>
      <c r="D2983" s="37" t="s">
        <v>1738</v>
      </c>
      <c r="E2983" s="191">
        <v>40998</v>
      </c>
      <c r="F2983" s="40" t="s">
        <v>1485</v>
      </c>
      <c r="G2983" s="40" t="s">
        <v>1561</v>
      </c>
      <c r="H2983" s="7" t="s">
        <v>1706</v>
      </c>
      <c r="I2983" s="252">
        <v>220</v>
      </c>
      <c r="J2983" s="252">
        <v>2554.8182684092853</v>
      </c>
      <c r="K2983" s="38">
        <f t="shared" si="166"/>
        <v>562060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</row>
    <row r="2984" spans="1:26" s="894" customFormat="1" ht="15.75" customHeight="1">
      <c r="A2984" s="910" t="str">
        <f>IF(B2984&lt;&gt;"",IF(AND(B2984&gt;=_TM1,B2984&lt;=_TM2,OR(TH!L2984="1111",TH!M2984="1111")),TH!D2984,""),"")</f>
        <v/>
      </c>
      <c r="B2984" s="885">
        <f t="shared" ref="B2984:B2993" si="167">IF(C2984&lt;&gt;"",MONTH(C2984),"")</f>
        <v>5</v>
      </c>
      <c r="C2984" s="911">
        <f t="shared" ref="C2984:C2993" si="168">E2984</f>
        <v>41053</v>
      </c>
      <c r="D2984" s="911" t="s">
        <v>1738</v>
      </c>
      <c r="E2984" s="886">
        <v>41053</v>
      </c>
      <c r="F2984" s="916" t="s">
        <v>723</v>
      </c>
      <c r="G2984" s="916" t="s">
        <v>1004</v>
      </c>
      <c r="H2984" s="914" t="s">
        <v>1706</v>
      </c>
      <c r="I2984" s="890">
        <v>300</v>
      </c>
      <c r="J2984" s="890">
        <v>26644</v>
      </c>
      <c r="K2984" s="891">
        <f t="shared" ref="K2984:K2993" si="169">ROUND(I2984*J2984,0)</f>
        <v>7993200</v>
      </c>
      <c r="L2984" s="912" t="s">
        <v>183</v>
      </c>
      <c r="M2984" s="912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customHeight="1">
      <c r="A2985" s="204" t="str">
        <f>IF(B2985&lt;&gt;"",IF(AND(B2985&gt;=_TM1,B2985&lt;=_TM2,OR(TH!L2985="1111",TH!M2985="1111")),TH!D2985,""),"")</f>
        <v/>
      </c>
      <c r="B2985" s="36">
        <f t="shared" si="167"/>
        <v>5</v>
      </c>
      <c r="C2985" s="37">
        <f t="shared" si="168"/>
        <v>41053</v>
      </c>
      <c r="D2985" s="37" t="s">
        <v>1738</v>
      </c>
      <c r="E2985" s="191">
        <v>41053</v>
      </c>
      <c r="F2985" s="192" t="s">
        <v>724</v>
      </c>
      <c r="G2985" s="40" t="s">
        <v>1004</v>
      </c>
      <c r="H2985" s="7" t="s">
        <v>1706</v>
      </c>
      <c r="I2985" s="252">
        <v>500</v>
      </c>
      <c r="J2985" s="252">
        <v>18923</v>
      </c>
      <c r="K2985" s="38">
        <f t="shared" si="169"/>
        <v>9461500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customHeight="1">
      <c r="A2986" s="204" t="str">
        <f>IF(B2986&lt;&gt;"",IF(AND(B2986&gt;=_TM1,B2986&lt;=_TM2,OR(TH!L2986="1111",TH!M2986="1111")),TH!D2986,""),"")</f>
        <v/>
      </c>
      <c r="B2986" s="36">
        <f t="shared" si="167"/>
        <v>5</v>
      </c>
      <c r="C2986" s="37">
        <f t="shared" si="168"/>
        <v>41054</v>
      </c>
      <c r="D2986" s="37" t="s">
        <v>1738</v>
      </c>
      <c r="E2986" s="191">
        <v>41054</v>
      </c>
      <c r="F2986" s="870" t="s">
        <v>726</v>
      </c>
      <c r="G2986" s="40" t="s">
        <v>1006</v>
      </c>
      <c r="H2986" s="7" t="s">
        <v>1706</v>
      </c>
      <c r="I2986" s="252">
        <v>500</v>
      </c>
      <c r="J2986" s="252">
        <v>14500</v>
      </c>
      <c r="K2986" s="38">
        <f t="shared" si="169"/>
        <v>7250000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customHeight="1">
      <c r="A2987" s="204" t="str">
        <f>IF(B2987&lt;&gt;"",IF(AND(B2987&gt;=_TM1,B2987&lt;=_TM2,OR(TH!L2987="1111",TH!M2987="1111")),TH!D2987,""),"")</f>
        <v/>
      </c>
      <c r="B2987" s="36">
        <f t="shared" si="167"/>
        <v>5</v>
      </c>
      <c r="C2987" s="37">
        <f t="shared" si="168"/>
        <v>41054</v>
      </c>
      <c r="D2987" s="37" t="s">
        <v>1738</v>
      </c>
      <c r="E2987" s="191">
        <v>41054</v>
      </c>
      <c r="F2987" s="192" t="s">
        <v>722</v>
      </c>
      <c r="G2987" s="40" t="s">
        <v>1006</v>
      </c>
      <c r="H2987" s="7" t="s">
        <v>1706</v>
      </c>
      <c r="I2987" s="252">
        <v>500</v>
      </c>
      <c r="J2987" s="252">
        <v>17219</v>
      </c>
      <c r="K2987" s="38">
        <f t="shared" si="169"/>
        <v>8609500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customHeight="1">
      <c r="A2988" s="204" t="str">
        <f>IF(B2988&lt;&gt;"",IF(AND(B2988&gt;=_TM1,B2988&lt;=_TM2,OR(TH!L2988="1111",TH!M2988="1111")),TH!D2988,""),"")</f>
        <v/>
      </c>
      <c r="B2988" s="36">
        <f t="shared" si="167"/>
        <v>5</v>
      </c>
      <c r="C2988" s="37">
        <f t="shared" si="168"/>
        <v>41055</v>
      </c>
      <c r="D2988" s="37" t="s">
        <v>1738</v>
      </c>
      <c r="E2988" s="191">
        <v>41055</v>
      </c>
      <c r="F2988" s="192" t="s">
        <v>725</v>
      </c>
      <c r="G2988" s="40" t="s">
        <v>1007</v>
      </c>
      <c r="H2988" s="7" t="s">
        <v>1706</v>
      </c>
      <c r="I2988" s="252">
        <v>500</v>
      </c>
      <c r="J2988" s="252">
        <v>19974</v>
      </c>
      <c r="K2988" s="38">
        <f t="shared" si="169"/>
        <v>9987000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customHeight="1">
      <c r="A2989" s="204" t="str">
        <f>IF(B2989&lt;&gt;"",IF(AND(B2989&gt;=_TM1,B2989&lt;=_TM2,OR(TH!L2989="1111",TH!M2989="1111")),TH!D2989,""),"")</f>
        <v/>
      </c>
      <c r="B2989" s="36">
        <f t="shared" si="167"/>
        <v>5</v>
      </c>
      <c r="C2989" s="37">
        <f t="shared" si="168"/>
        <v>41056</v>
      </c>
      <c r="D2989" s="37" t="s">
        <v>1738</v>
      </c>
      <c r="E2989" s="191">
        <v>41056</v>
      </c>
      <c r="F2989" s="192" t="s">
        <v>727</v>
      </c>
      <c r="G2989" s="40" t="s">
        <v>1008</v>
      </c>
      <c r="H2989" s="7" t="s">
        <v>1706</v>
      </c>
      <c r="I2989" s="252">
        <v>300</v>
      </c>
      <c r="J2989" s="252">
        <v>31103</v>
      </c>
      <c r="K2989" s="38">
        <f t="shared" si="169"/>
        <v>9330900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customHeight="1">
      <c r="A2990" s="204" t="str">
        <f>IF(B2990&lt;&gt;"",IF(AND(B2990&gt;=_TM1,B2990&lt;=_TM2,OR(TH!L2990="1111",TH!M2990="1111")),TH!D2990,""),"")</f>
        <v/>
      </c>
      <c r="B2990" s="36">
        <f t="shared" si="167"/>
        <v>5</v>
      </c>
      <c r="C2990" s="37">
        <f t="shared" si="168"/>
        <v>41059</v>
      </c>
      <c r="D2990" s="37" t="s">
        <v>1738</v>
      </c>
      <c r="E2990" s="191">
        <v>41059</v>
      </c>
      <c r="F2990" s="192" t="s">
        <v>737</v>
      </c>
      <c r="G2990" s="40" t="s">
        <v>1571</v>
      </c>
      <c r="H2990" s="7" t="s">
        <v>1706</v>
      </c>
      <c r="I2990" s="252">
        <v>2150</v>
      </c>
      <c r="J2990" s="252">
        <v>17357</v>
      </c>
      <c r="K2990" s="38">
        <f t="shared" si="169"/>
        <v>37317550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customHeight="1">
      <c r="A2991" s="204" t="str">
        <f>IF(B2991&lt;&gt;"",IF(AND(B2991&gt;=_TM1,B2991&lt;=_TM2,OR(TH!L2991="1111",TH!M2991="1111")),TH!D2991,""),"")</f>
        <v/>
      </c>
      <c r="B2991" s="36">
        <f t="shared" si="167"/>
        <v>5</v>
      </c>
      <c r="C2991" s="37">
        <f t="shared" si="168"/>
        <v>41059</v>
      </c>
      <c r="D2991" s="37" t="s">
        <v>1738</v>
      </c>
      <c r="E2991" s="191">
        <v>41059</v>
      </c>
      <c r="F2991" s="192" t="s">
        <v>739</v>
      </c>
      <c r="G2991" s="40" t="s">
        <v>1571</v>
      </c>
      <c r="H2991" s="7" t="s">
        <v>1706</v>
      </c>
      <c r="I2991" s="252">
        <v>270</v>
      </c>
      <c r="J2991" s="252">
        <v>18321</v>
      </c>
      <c r="K2991" s="38">
        <f t="shared" si="169"/>
        <v>4946670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customHeight="1">
      <c r="A2992" s="204" t="str">
        <f>IF(B2992&lt;&gt;"",IF(AND(B2992&gt;=_TM1,B2992&lt;=_TM2,OR(TH!L2992="1111",TH!M2992="1111")),TH!D2992,""),"")</f>
        <v/>
      </c>
      <c r="B2992" s="36">
        <f t="shared" si="167"/>
        <v>5</v>
      </c>
      <c r="C2992" s="37">
        <f t="shared" si="168"/>
        <v>41059</v>
      </c>
      <c r="D2992" s="37" t="s">
        <v>1738</v>
      </c>
      <c r="E2992" s="191">
        <v>41059</v>
      </c>
      <c r="F2992" s="192" t="s">
        <v>741</v>
      </c>
      <c r="G2992" s="40" t="s">
        <v>1571</v>
      </c>
      <c r="H2992" s="7" t="s">
        <v>1706</v>
      </c>
      <c r="I2992" s="252">
        <v>360</v>
      </c>
      <c r="J2992" s="252">
        <v>28775</v>
      </c>
      <c r="K2992" s="38">
        <f t="shared" si="169"/>
        <v>10359000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8" ht="15.75" customHeight="1">
      <c r="A2993" s="204" t="str">
        <f>IF(B2993&lt;&gt;"",IF(AND(B2993&gt;=_TM1,B2993&lt;=_TM2,OR(TH!L2993="1111",TH!M2993="1111")),TH!D2993,""),"")</f>
        <v/>
      </c>
      <c r="B2993" s="36">
        <f t="shared" si="167"/>
        <v>6</v>
      </c>
      <c r="C2993" s="37">
        <f t="shared" si="168"/>
        <v>41069</v>
      </c>
      <c r="D2993" s="37" t="s">
        <v>1738</v>
      </c>
      <c r="E2993" s="191">
        <v>41069</v>
      </c>
      <c r="F2993" s="192" t="s">
        <v>767</v>
      </c>
      <c r="G2993" s="40" t="s">
        <v>1018</v>
      </c>
      <c r="H2993" s="7" t="s">
        <v>1706</v>
      </c>
      <c r="I2993" s="252">
        <v>790</v>
      </c>
      <c r="J2993" s="252">
        <v>27405</v>
      </c>
      <c r="K2993" s="38">
        <f t="shared" si="169"/>
        <v>21649950</v>
      </c>
      <c r="L2993" s="39" t="s">
        <v>183</v>
      </c>
      <c r="M2993" s="39" t="s">
        <v>169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  <c r="AB2993" s="211"/>
    </row>
    <row r="2994" spans="1:28" s="894" customFormat="1" ht="15.75" customHeight="1">
      <c r="A2994" s="910" t="str">
        <f>IF(B2994&lt;&gt;"",IF(AND(B2994&gt;=_TM1,B2994&lt;=_TM2,OR(TH!L2994="1111",TH!M2994="1111")),TH!D2994,""),"")</f>
        <v/>
      </c>
      <c r="B2994" s="885">
        <f t="shared" si="157"/>
        <v>4</v>
      </c>
      <c r="C2994" s="911">
        <f t="shared" si="165"/>
        <v>41003</v>
      </c>
      <c r="D2994" s="37" t="s">
        <v>1738</v>
      </c>
      <c r="E2994" s="886">
        <v>41003</v>
      </c>
      <c r="F2994" s="916" t="s">
        <v>1145</v>
      </c>
      <c r="G2994" s="916" t="s">
        <v>965</v>
      </c>
      <c r="H2994" s="914" t="s">
        <v>1706</v>
      </c>
      <c r="I2994" s="890">
        <v>500</v>
      </c>
      <c r="J2994" s="890">
        <v>10775.16</v>
      </c>
      <c r="K2994" s="891">
        <f t="shared" si="166"/>
        <v>5387580</v>
      </c>
      <c r="L2994" s="912" t="s">
        <v>183</v>
      </c>
      <c r="M2994" s="912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8" ht="15.75" customHeight="1">
      <c r="A2995" s="204" t="str">
        <f>IF(B2995&lt;&gt;"",IF(AND(B2995&gt;=_TM1,B2995&lt;=_TM2,OR(TH!L2995="1111",TH!M2995="1111")),TH!D2995,""),"")</f>
        <v/>
      </c>
      <c r="B2995" s="36">
        <f t="shared" si="157"/>
        <v>4</v>
      </c>
      <c r="C2995" s="37">
        <f t="shared" si="165"/>
        <v>41003</v>
      </c>
      <c r="D2995" s="37" t="s">
        <v>1738</v>
      </c>
      <c r="E2995" s="191">
        <v>41003</v>
      </c>
      <c r="F2995" s="40" t="s">
        <v>1220</v>
      </c>
      <c r="G2995" s="40" t="s">
        <v>965</v>
      </c>
      <c r="H2995" s="7" t="s">
        <v>1706</v>
      </c>
      <c r="I2995" s="252">
        <v>200</v>
      </c>
      <c r="J2995" s="252">
        <v>7201.74</v>
      </c>
      <c r="K2995" s="38">
        <f t="shared" si="166"/>
        <v>1440348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8" ht="15.75" customHeight="1">
      <c r="A2996" s="204" t="str">
        <f>IF(B2996&lt;&gt;"",IF(AND(B2996&gt;=_TM1,B2996&lt;=_TM2,OR(TH!L2996="1111",TH!M2996="1111")),TH!D2996,""),"")</f>
        <v/>
      </c>
      <c r="B2996" s="36">
        <f t="shared" si="157"/>
        <v>4</v>
      </c>
      <c r="C2996" s="37">
        <f t="shared" si="165"/>
        <v>41003</v>
      </c>
      <c r="D2996" s="37" t="s">
        <v>1738</v>
      </c>
      <c r="E2996" s="191">
        <v>41003</v>
      </c>
      <c r="F2996" s="40" t="s">
        <v>1219</v>
      </c>
      <c r="G2996" s="40" t="s">
        <v>966</v>
      </c>
      <c r="H2996" s="7" t="s">
        <v>1706</v>
      </c>
      <c r="I2996" s="252">
        <v>507</v>
      </c>
      <c r="J2996" s="252">
        <v>7119.6508875739646</v>
      </c>
      <c r="K2996" s="38">
        <f t="shared" si="166"/>
        <v>3609663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8" ht="15.75" customHeight="1">
      <c r="A2997" s="204" t="str">
        <f>IF(B2997&lt;&gt;"",IF(AND(B2997&gt;=_TM1,B2997&lt;=_TM2,OR(TH!L2997="1111",TH!M2997="1111")),TH!D2997,""),"")</f>
        <v/>
      </c>
      <c r="B2997" s="36">
        <f t="shared" si="157"/>
        <v>4</v>
      </c>
      <c r="C2997" s="37">
        <f t="shared" si="165"/>
        <v>41004</v>
      </c>
      <c r="D2997" s="37" t="s">
        <v>1738</v>
      </c>
      <c r="E2997" s="191">
        <v>41004</v>
      </c>
      <c r="F2997" s="40" t="s">
        <v>1157</v>
      </c>
      <c r="G2997" s="40" t="s">
        <v>967</v>
      </c>
      <c r="H2997" s="7" t="s">
        <v>1706</v>
      </c>
      <c r="I2997" s="252">
        <v>1488</v>
      </c>
      <c r="J2997" s="252">
        <v>9567.5329301075271</v>
      </c>
      <c r="K2997" s="38">
        <f t="shared" si="166"/>
        <v>14236489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8" ht="15.75" customHeight="1">
      <c r="A2998" s="204" t="str">
        <f>IF(B2998&lt;&gt;"",IF(AND(B2998&gt;=_TM1,B2998&lt;=_TM2,OR(TH!L2998="1111",TH!M2998="1111")),TH!D2998,""),"")</f>
        <v/>
      </c>
      <c r="B2998" s="36">
        <f t="shared" si="157"/>
        <v>4</v>
      </c>
      <c r="C2998" s="37">
        <f t="shared" si="165"/>
        <v>41009</v>
      </c>
      <c r="D2998" s="37" t="s">
        <v>1738</v>
      </c>
      <c r="E2998" s="191">
        <v>41009</v>
      </c>
      <c r="F2998" s="40" t="s">
        <v>1121</v>
      </c>
      <c r="G2998" s="40" t="s">
        <v>968</v>
      </c>
      <c r="H2998" s="7" t="s">
        <v>1706</v>
      </c>
      <c r="I2998" s="252">
        <v>420</v>
      </c>
      <c r="J2998" s="252">
        <v>7904.3023809523811</v>
      </c>
      <c r="K2998" s="38">
        <f t="shared" si="166"/>
        <v>3319807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8" ht="15.75" customHeight="1">
      <c r="A2999" s="204" t="str">
        <f>IF(B2999&lt;&gt;"",IF(AND(B2999&gt;=_TM1,B2999&lt;=_TM2,OR(TH!L2999="1111",TH!M2999="1111")),TH!D2999,""),"")</f>
        <v/>
      </c>
      <c r="B2999" s="36">
        <f t="shared" si="157"/>
        <v>4</v>
      </c>
      <c r="C2999" s="37">
        <f t="shared" si="165"/>
        <v>41009</v>
      </c>
      <c r="D2999" s="37" t="s">
        <v>1738</v>
      </c>
      <c r="E2999" s="191">
        <v>41009</v>
      </c>
      <c r="F2999" s="40" t="s">
        <v>1218</v>
      </c>
      <c r="G2999" s="40" t="s">
        <v>968</v>
      </c>
      <c r="H2999" s="7" t="s">
        <v>1706</v>
      </c>
      <c r="I2999" s="252">
        <v>412</v>
      </c>
      <c r="J2999" s="252">
        <v>7499.9733009708734</v>
      </c>
      <c r="K2999" s="38">
        <f t="shared" si="166"/>
        <v>3089989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8" ht="15.75" customHeight="1">
      <c r="A3000" s="204" t="str">
        <f>IF(B3000&lt;&gt;"",IF(AND(B3000&gt;=_TM1,B3000&lt;=_TM2,OR(TH!L3000="1111",TH!M3000="1111")),TH!D3000,""),"")</f>
        <v/>
      </c>
      <c r="B3000" s="36">
        <f t="shared" si="157"/>
        <v>4</v>
      </c>
      <c r="C3000" s="37">
        <f t="shared" si="165"/>
        <v>41009</v>
      </c>
      <c r="D3000" s="37" t="s">
        <v>1738</v>
      </c>
      <c r="E3000" s="191">
        <v>41009</v>
      </c>
      <c r="F3000" s="40" t="s">
        <v>1217</v>
      </c>
      <c r="G3000" s="40" t="s">
        <v>969</v>
      </c>
      <c r="H3000" s="7" t="s">
        <v>1706</v>
      </c>
      <c r="I3000" s="252">
        <v>1000</v>
      </c>
      <c r="J3000" s="252">
        <v>2367.241</v>
      </c>
      <c r="K3000" s="38">
        <f t="shared" si="166"/>
        <v>2367241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8" ht="15.75" customHeight="1">
      <c r="A3001" s="204" t="str">
        <f>IF(B3001&lt;&gt;"",IF(AND(B3001&gt;=_TM1,B3001&lt;=_TM2,OR(TH!L3001="1111",TH!M3001="1111")),TH!D3001,""),"")</f>
        <v/>
      </c>
      <c r="B3001" s="36">
        <f t="shared" ref="B3001:B3065" si="170">IF(C3001&lt;&gt;"",MONTH(C3001),"")</f>
        <v>4</v>
      </c>
      <c r="C3001" s="37">
        <f t="shared" si="165"/>
        <v>41009</v>
      </c>
      <c r="D3001" s="37" t="s">
        <v>1738</v>
      </c>
      <c r="E3001" s="191">
        <v>41009</v>
      </c>
      <c r="F3001" s="40" t="s">
        <v>1216</v>
      </c>
      <c r="G3001" s="40" t="s">
        <v>969</v>
      </c>
      <c r="H3001" s="7" t="s">
        <v>1706</v>
      </c>
      <c r="I3001" s="252">
        <v>1500</v>
      </c>
      <c r="J3001" s="252">
        <v>1312.0186666666666</v>
      </c>
      <c r="K3001" s="38">
        <f t="shared" si="166"/>
        <v>1968028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8" ht="15.75" customHeight="1">
      <c r="A3002" s="204" t="str">
        <f>IF(B3002&lt;&gt;"",IF(AND(B3002&gt;=_TM1,B3002&lt;=_TM2,OR(TH!L3002="1111",TH!M3002="1111")),TH!D3002,""),"")</f>
        <v/>
      </c>
      <c r="B3002" s="36">
        <f t="shared" si="170"/>
        <v>4</v>
      </c>
      <c r="C3002" s="37">
        <f t="shared" ref="C3002:C3065" si="171">E3002</f>
        <v>41010</v>
      </c>
      <c r="D3002" s="37" t="s">
        <v>1738</v>
      </c>
      <c r="E3002" s="191">
        <v>41010</v>
      </c>
      <c r="F3002" s="40" t="s">
        <v>1214</v>
      </c>
      <c r="G3002" s="40" t="s">
        <v>970</v>
      </c>
      <c r="H3002" s="7" t="s">
        <v>1706</v>
      </c>
      <c r="I3002" s="252">
        <v>85</v>
      </c>
      <c r="J3002" s="252">
        <v>15896.094117647059</v>
      </c>
      <c r="K3002" s="38">
        <f t="shared" ref="K3002:K3065" si="172">ROUND(I3002*J3002,0)</f>
        <v>1351168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8" ht="15.75" customHeight="1">
      <c r="A3003" s="204" t="str">
        <f>IF(B3003&lt;&gt;"",IF(AND(B3003&gt;=_TM1,B3003&lt;=_TM2,OR(TH!L3003="1111",TH!M3003="1111")),TH!D3003,""),"")</f>
        <v/>
      </c>
      <c r="B3003" s="36">
        <f t="shared" si="170"/>
        <v>4</v>
      </c>
      <c r="C3003" s="37">
        <f t="shared" si="171"/>
        <v>41016</v>
      </c>
      <c r="D3003" s="37" t="s">
        <v>1738</v>
      </c>
      <c r="E3003" s="191">
        <v>41016</v>
      </c>
      <c r="F3003" s="40" t="s">
        <v>1213</v>
      </c>
      <c r="G3003" s="40" t="s">
        <v>971</v>
      </c>
      <c r="H3003" s="7" t="s">
        <v>1706</v>
      </c>
      <c r="I3003" s="252">
        <v>940</v>
      </c>
      <c r="J3003" s="252">
        <v>9363.6148936170212</v>
      </c>
      <c r="K3003" s="38">
        <f t="shared" si="172"/>
        <v>8801798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8" ht="15.75" customHeight="1">
      <c r="A3004" s="204" t="str">
        <f>IF(B3004&lt;&gt;"",IF(AND(B3004&gt;=_TM1,B3004&lt;=_TM2,OR(TH!L3004="1111",TH!M3004="1111")),TH!D3004,""),"")</f>
        <v/>
      </c>
      <c r="B3004" s="36">
        <f t="shared" si="170"/>
        <v>4</v>
      </c>
      <c r="C3004" s="37">
        <f t="shared" si="171"/>
        <v>41016</v>
      </c>
      <c r="D3004" s="37" t="s">
        <v>1738</v>
      </c>
      <c r="E3004" s="191">
        <v>41016</v>
      </c>
      <c r="F3004" s="40" t="s">
        <v>1563</v>
      </c>
      <c r="G3004" s="40" t="s">
        <v>1562</v>
      </c>
      <c r="H3004" s="7" t="s">
        <v>1706</v>
      </c>
      <c r="I3004" s="252">
        <v>146</v>
      </c>
      <c r="J3004" s="252">
        <v>16790.719178082192</v>
      </c>
      <c r="K3004" s="38">
        <f t="shared" si="172"/>
        <v>2451445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8" ht="15.75" customHeight="1">
      <c r="A3005" s="204" t="str">
        <f>IF(B3005&lt;&gt;"",IF(AND(B3005&gt;=_TM1,B3005&lt;=_TM2,OR(TH!L3005="1111",TH!M3005="1111")),TH!D3005,""),"")</f>
        <v/>
      </c>
      <c r="B3005" s="36">
        <f t="shared" si="170"/>
        <v>4</v>
      </c>
      <c r="C3005" s="37">
        <f t="shared" si="171"/>
        <v>41016</v>
      </c>
      <c r="D3005" s="37" t="s">
        <v>1738</v>
      </c>
      <c r="E3005" s="191">
        <v>41016</v>
      </c>
      <c r="F3005" s="40" t="s">
        <v>1564</v>
      </c>
      <c r="G3005" s="40" t="s">
        <v>1562</v>
      </c>
      <c r="H3005" s="7" t="s">
        <v>1706</v>
      </c>
      <c r="I3005" s="252">
        <v>97</v>
      </c>
      <c r="J3005" s="252">
        <v>31909.649484536083</v>
      </c>
      <c r="K3005" s="38">
        <f t="shared" si="172"/>
        <v>3095236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8" ht="15.75" customHeight="1">
      <c r="A3006" s="204" t="str">
        <f>IF(B3006&lt;&gt;"",IF(AND(B3006&gt;=_TM1,B3006&lt;=_TM2,OR(TH!L3006="1111",TH!M3006="1111")),TH!D3006,""),"")</f>
        <v/>
      </c>
      <c r="B3006" s="36">
        <f t="shared" si="170"/>
        <v>4</v>
      </c>
      <c r="C3006" s="37">
        <f t="shared" si="171"/>
        <v>41016</v>
      </c>
      <c r="D3006" s="37" t="s">
        <v>1738</v>
      </c>
      <c r="E3006" s="191">
        <v>41016</v>
      </c>
      <c r="F3006" s="40" t="s">
        <v>1565</v>
      </c>
      <c r="G3006" s="40" t="s">
        <v>1562</v>
      </c>
      <c r="H3006" s="7" t="s">
        <v>1706</v>
      </c>
      <c r="I3006" s="252">
        <v>201</v>
      </c>
      <c r="J3006" s="252">
        <v>16838.562189054726</v>
      </c>
      <c r="K3006" s="38">
        <f t="shared" si="172"/>
        <v>3384551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8" ht="15.75" customHeight="1">
      <c r="A3007" s="204" t="str">
        <f>IF(B3007&lt;&gt;"",IF(AND(B3007&gt;=_TM1,B3007&lt;=_TM2,OR(TH!L3007="1111",TH!M3007="1111")),TH!D3007,""),"")</f>
        <v/>
      </c>
      <c r="B3007" s="36">
        <f t="shared" si="170"/>
        <v>4</v>
      </c>
      <c r="C3007" s="37">
        <f t="shared" si="171"/>
        <v>41016</v>
      </c>
      <c r="D3007" s="37" t="s">
        <v>1738</v>
      </c>
      <c r="E3007" s="191">
        <v>41016</v>
      </c>
      <c r="F3007" s="40" t="s">
        <v>1212</v>
      </c>
      <c r="G3007" s="40" t="s">
        <v>972</v>
      </c>
      <c r="H3007" s="7" t="s">
        <v>1706</v>
      </c>
      <c r="I3007" s="252">
        <v>110</v>
      </c>
      <c r="J3007" s="252">
        <v>30344.036363636365</v>
      </c>
      <c r="K3007" s="38">
        <f t="shared" si="172"/>
        <v>3337844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8" ht="15.75" customHeight="1">
      <c r="A3008" s="204" t="str">
        <f>IF(B3008&lt;&gt;"",IF(AND(B3008&gt;=_TM1,B3008&lt;=_TM2,OR(TH!L3008="1111",TH!M3008="1111")),TH!D3008,""),"")</f>
        <v/>
      </c>
      <c r="B3008" s="36">
        <f t="shared" si="170"/>
        <v>4</v>
      </c>
      <c r="C3008" s="37">
        <f t="shared" si="171"/>
        <v>41016</v>
      </c>
      <c r="D3008" s="37" t="s">
        <v>1738</v>
      </c>
      <c r="E3008" s="191">
        <v>41016</v>
      </c>
      <c r="F3008" s="40" t="s">
        <v>1146</v>
      </c>
      <c r="G3008" s="40" t="s">
        <v>972</v>
      </c>
      <c r="H3008" s="7" t="s">
        <v>1706</v>
      </c>
      <c r="I3008" s="252">
        <v>85</v>
      </c>
      <c r="J3008" s="252">
        <v>46037.211764705884</v>
      </c>
      <c r="K3008" s="38">
        <f t="shared" si="172"/>
        <v>3913163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customHeight="1">
      <c r="A3009" s="204" t="str">
        <f>IF(B3009&lt;&gt;"",IF(AND(B3009&gt;=_TM1,B3009&lt;=_TM2,OR(TH!L3009="1111",TH!M3009="1111")),TH!D3009,""),"")</f>
        <v/>
      </c>
      <c r="B3009" s="36">
        <f t="shared" si="170"/>
        <v>4</v>
      </c>
      <c r="C3009" s="37">
        <f t="shared" si="171"/>
        <v>41016</v>
      </c>
      <c r="D3009" s="37" t="s">
        <v>1738</v>
      </c>
      <c r="E3009" s="191">
        <v>41016</v>
      </c>
      <c r="F3009" s="40" t="s">
        <v>973</v>
      </c>
      <c r="G3009" s="40" t="s">
        <v>972</v>
      </c>
      <c r="H3009" s="7" t="s">
        <v>1706</v>
      </c>
      <c r="I3009" s="252">
        <v>150</v>
      </c>
      <c r="J3009" s="252">
        <v>16297.94</v>
      </c>
      <c r="K3009" s="38">
        <f t="shared" si="172"/>
        <v>2444691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customHeight="1">
      <c r="A3010" s="204" t="str">
        <f>IF(B3010&lt;&gt;"",IF(AND(B3010&gt;=_TM1,B3010&lt;=_TM2,OR(TH!L3010="1111",TH!M3010="1111")),TH!D3010,""),"")</f>
        <v/>
      </c>
      <c r="B3010" s="36">
        <f t="shared" si="170"/>
        <v>4</v>
      </c>
      <c r="C3010" s="37">
        <f t="shared" si="171"/>
        <v>41016</v>
      </c>
      <c r="D3010" s="37" t="s">
        <v>1738</v>
      </c>
      <c r="E3010" s="191">
        <v>41016</v>
      </c>
      <c r="F3010" s="40" t="s">
        <v>1211</v>
      </c>
      <c r="G3010" s="40" t="s">
        <v>972</v>
      </c>
      <c r="H3010" s="7" t="s">
        <v>1706</v>
      </c>
      <c r="I3010" s="252">
        <v>91</v>
      </c>
      <c r="J3010" s="252">
        <v>24626.043956043955</v>
      </c>
      <c r="K3010" s="38">
        <f t="shared" si="172"/>
        <v>2240970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customHeight="1">
      <c r="A3011" s="204" t="str">
        <f>IF(B3011&lt;&gt;"",IF(AND(B3011&gt;=_TM1,B3011&lt;=_TM2,OR(TH!L3011="1111",TH!M3011="1111")),TH!D3011,""),"")</f>
        <v/>
      </c>
      <c r="B3011" s="36">
        <f t="shared" si="170"/>
        <v>4</v>
      </c>
      <c r="C3011" s="37">
        <f t="shared" si="171"/>
        <v>41020</v>
      </c>
      <c r="D3011" s="37" t="s">
        <v>1738</v>
      </c>
      <c r="E3011" s="191">
        <v>41020</v>
      </c>
      <c r="F3011" s="40" t="s">
        <v>1210</v>
      </c>
      <c r="G3011" s="40" t="s">
        <v>974</v>
      </c>
      <c r="H3011" s="7" t="s">
        <v>1706</v>
      </c>
      <c r="I3011" s="252">
        <v>400</v>
      </c>
      <c r="J3011" s="252">
        <v>2582.665</v>
      </c>
      <c r="K3011" s="38">
        <f t="shared" si="172"/>
        <v>1033066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customHeight="1">
      <c r="A3012" s="204" t="str">
        <f>IF(B3012&lt;&gt;"",IF(AND(B3012&gt;=_TM1,B3012&lt;=_TM2,OR(TH!L3012="1111",TH!M3012="1111")),TH!D3012,""),"")</f>
        <v/>
      </c>
      <c r="B3012" s="36">
        <f t="shared" si="170"/>
        <v>4</v>
      </c>
      <c r="C3012" s="37">
        <f t="shared" si="171"/>
        <v>41023</v>
      </c>
      <c r="D3012" s="37" t="s">
        <v>1738</v>
      </c>
      <c r="E3012" s="191">
        <v>41023</v>
      </c>
      <c r="F3012" s="40" t="s">
        <v>1209</v>
      </c>
      <c r="G3012" s="40" t="s">
        <v>975</v>
      </c>
      <c r="H3012" s="7" t="s">
        <v>1706</v>
      </c>
      <c r="I3012" s="252">
        <v>840</v>
      </c>
      <c r="J3012" s="252">
        <v>3765.7547619047618</v>
      </c>
      <c r="K3012" s="38">
        <f t="shared" si="172"/>
        <v>3163234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customHeight="1">
      <c r="A3013" s="204" t="str">
        <f>IF(B3013&lt;&gt;"",IF(AND(B3013&gt;=_TM1,B3013&lt;=_TM2,OR(TH!L3013="1111",TH!M3013="1111")),TH!D3013,""),"")</f>
        <v/>
      </c>
      <c r="B3013" s="36">
        <f t="shared" si="170"/>
        <v>4</v>
      </c>
      <c r="C3013" s="37">
        <f t="shared" si="171"/>
        <v>41023</v>
      </c>
      <c r="D3013" s="37" t="s">
        <v>1738</v>
      </c>
      <c r="E3013" s="191">
        <v>41023</v>
      </c>
      <c r="F3013" s="40" t="s">
        <v>977</v>
      </c>
      <c r="G3013" s="40" t="s">
        <v>975</v>
      </c>
      <c r="H3013" s="7" t="s">
        <v>1706</v>
      </c>
      <c r="I3013" s="252">
        <v>933</v>
      </c>
      <c r="J3013" s="252">
        <v>6573.028938906752</v>
      </c>
      <c r="K3013" s="38">
        <f t="shared" si="172"/>
        <v>6132636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customHeight="1">
      <c r="A3014" s="204" t="str">
        <f>IF(B3014&lt;&gt;"",IF(AND(B3014&gt;=_TM1,B3014&lt;=_TM2,OR(TH!L3014="1111",TH!M3014="1111")),TH!D3014,""),"")</f>
        <v/>
      </c>
      <c r="B3014" s="36">
        <f t="shared" si="170"/>
        <v>4</v>
      </c>
      <c r="C3014" s="37">
        <f t="shared" si="171"/>
        <v>41023</v>
      </c>
      <c r="D3014" s="37" t="s">
        <v>1738</v>
      </c>
      <c r="E3014" s="191">
        <v>41023</v>
      </c>
      <c r="F3014" s="40" t="s">
        <v>1208</v>
      </c>
      <c r="G3014" s="40" t="s">
        <v>978</v>
      </c>
      <c r="H3014" s="7" t="s">
        <v>1706</v>
      </c>
      <c r="I3014" s="252">
        <v>500</v>
      </c>
      <c r="J3014" s="252">
        <v>5728.24</v>
      </c>
      <c r="K3014" s="38">
        <f t="shared" si="172"/>
        <v>2864120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customHeight="1">
      <c r="A3015" s="204" t="str">
        <f>IF(B3015&lt;&gt;"",IF(AND(B3015&gt;=_TM1,B3015&lt;=_TM2,OR(TH!L3015="1111",TH!M3015="1111")),TH!D3015,""),"")</f>
        <v/>
      </c>
      <c r="B3015" s="36">
        <f t="shared" si="170"/>
        <v>4</v>
      </c>
      <c r="C3015" s="37">
        <f t="shared" si="171"/>
        <v>41025</v>
      </c>
      <c r="D3015" s="37" t="s">
        <v>1738</v>
      </c>
      <c r="E3015" s="191">
        <v>41025</v>
      </c>
      <c r="F3015" s="40" t="s">
        <v>1069</v>
      </c>
      <c r="G3015" s="40" t="s">
        <v>979</v>
      </c>
      <c r="H3015" s="7" t="s">
        <v>1706</v>
      </c>
      <c r="I3015" s="252">
        <v>190</v>
      </c>
      <c r="J3015" s="252">
        <v>5891.3052631578948</v>
      </c>
      <c r="K3015" s="38">
        <f t="shared" si="172"/>
        <v>1119348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customHeight="1">
      <c r="A3016" s="204" t="str">
        <f>IF(B3016&lt;&gt;"",IF(AND(B3016&gt;=_TM1,B3016&lt;=_TM2,OR(TH!L3016="1111",TH!M3016="1111")),TH!D3016,""),"")</f>
        <v/>
      </c>
      <c r="B3016" s="36">
        <f t="shared" si="170"/>
        <v>4</v>
      </c>
      <c r="C3016" s="37">
        <f t="shared" si="171"/>
        <v>41025</v>
      </c>
      <c r="D3016" s="37" t="s">
        <v>1738</v>
      </c>
      <c r="E3016" s="191">
        <v>41025</v>
      </c>
      <c r="F3016" s="40" t="s">
        <v>1070</v>
      </c>
      <c r="G3016" s="40" t="s">
        <v>979</v>
      </c>
      <c r="H3016" s="7" t="s">
        <v>1706</v>
      </c>
      <c r="I3016" s="252">
        <v>712</v>
      </c>
      <c r="J3016" s="252">
        <v>6575.2738764044943</v>
      </c>
      <c r="K3016" s="38">
        <f t="shared" si="172"/>
        <v>4681595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customHeight="1">
      <c r="A3017" s="204" t="str">
        <f>IF(B3017&lt;&gt;"",IF(AND(B3017&gt;=_TM1,B3017&lt;=_TM2,OR(TH!L3017="1111",TH!M3017="1111")),TH!D3017,""),"")</f>
        <v/>
      </c>
      <c r="B3017" s="36">
        <f t="shared" si="170"/>
        <v>4</v>
      </c>
      <c r="C3017" s="37">
        <f t="shared" si="171"/>
        <v>41025</v>
      </c>
      <c r="D3017" s="37" t="s">
        <v>1738</v>
      </c>
      <c r="E3017" s="191">
        <v>41025</v>
      </c>
      <c r="F3017" s="40" t="s">
        <v>1478</v>
      </c>
      <c r="G3017" s="40" t="s">
        <v>1566</v>
      </c>
      <c r="H3017" s="7" t="s">
        <v>1706</v>
      </c>
      <c r="I3017" s="252">
        <v>75</v>
      </c>
      <c r="J3017" s="252">
        <v>41272.04</v>
      </c>
      <c r="K3017" s="38">
        <f t="shared" si="172"/>
        <v>3095403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customHeight="1">
      <c r="A3018" s="204" t="str">
        <f>IF(B3018&lt;&gt;"",IF(AND(B3018&gt;=_TM1,B3018&lt;=_TM2,OR(TH!L3018="1111",TH!M3018="1111")),TH!D3018,""),"")</f>
        <v/>
      </c>
      <c r="B3018" s="36">
        <f t="shared" si="170"/>
        <v>4</v>
      </c>
      <c r="C3018" s="37">
        <f t="shared" si="171"/>
        <v>41025</v>
      </c>
      <c r="D3018" s="37" t="s">
        <v>1738</v>
      </c>
      <c r="E3018" s="191">
        <v>41025</v>
      </c>
      <c r="F3018" s="40" t="s">
        <v>1479</v>
      </c>
      <c r="G3018" s="40" t="s">
        <v>1566</v>
      </c>
      <c r="H3018" s="7" t="s">
        <v>1706</v>
      </c>
      <c r="I3018" s="252">
        <v>150</v>
      </c>
      <c r="J3018" s="252">
        <v>24572.306666666667</v>
      </c>
      <c r="K3018" s="38">
        <f t="shared" si="172"/>
        <v>3685846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customHeight="1">
      <c r="A3019" s="204" t="str">
        <f>IF(B3019&lt;&gt;"",IF(AND(B3019&gt;=_TM1,B3019&lt;=_TM2,OR(TH!L3019="1111",TH!M3019="1111")),TH!D3019,""),"")</f>
        <v/>
      </c>
      <c r="B3019" s="36">
        <f t="shared" si="170"/>
        <v>4</v>
      </c>
      <c r="C3019" s="37">
        <f t="shared" si="171"/>
        <v>41025</v>
      </c>
      <c r="D3019" s="37" t="s">
        <v>1738</v>
      </c>
      <c r="E3019" s="191">
        <v>41025</v>
      </c>
      <c r="F3019" s="40" t="s">
        <v>1480</v>
      </c>
      <c r="G3019" s="40" t="s">
        <v>1566</v>
      </c>
      <c r="H3019" s="7" t="s">
        <v>1706</v>
      </c>
      <c r="I3019" s="252">
        <v>100</v>
      </c>
      <c r="J3019" s="252">
        <v>42252.04</v>
      </c>
      <c r="K3019" s="38">
        <f t="shared" si="172"/>
        <v>4225204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customHeight="1">
      <c r="A3020" s="204" t="str">
        <f>IF(B3020&lt;&gt;"",IF(AND(B3020&gt;=_TM1,B3020&lt;=_TM2,OR(TH!L3020="1111",TH!M3020="1111")),TH!D3020,""),"")</f>
        <v/>
      </c>
      <c r="B3020" s="36">
        <f t="shared" si="170"/>
        <v>4</v>
      </c>
      <c r="C3020" s="37">
        <f t="shared" si="171"/>
        <v>41025</v>
      </c>
      <c r="D3020" s="37" t="s">
        <v>1738</v>
      </c>
      <c r="E3020" s="191">
        <v>41025</v>
      </c>
      <c r="F3020" s="40" t="s">
        <v>1481</v>
      </c>
      <c r="G3020" s="40" t="s">
        <v>1566</v>
      </c>
      <c r="H3020" s="7" t="s">
        <v>1706</v>
      </c>
      <c r="I3020" s="252">
        <v>140</v>
      </c>
      <c r="J3020" s="252">
        <v>34664.042857142857</v>
      </c>
      <c r="K3020" s="38">
        <f t="shared" si="172"/>
        <v>4852966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customHeight="1">
      <c r="A3021" s="204" t="str">
        <f>IF(B3021&lt;&gt;"",IF(AND(B3021&gt;=_TM1,B3021&lt;=_TM2,OR(TH!L3021="1111",TH!M3021="1111")),TH!D3021,""),"")</f>
        <v/>
      </c>
      <c r="B3021" s="36">
        <f t="shared" si="170"/>
        <v>4</v>
      </c>
      <c r="C3021" s="37">
        <f t="shared" si="171"/>
        <v>41025</v>
      </c>
      <c r="D3021" s="37" t="s">
        <v>1738</v>
      </c>
      <c r="E3021" s="191">
        <v>41025</v>
      </c>
      <c r="F3021" s="40" t="s">
        <v>1482</v>
      </c>
      <c r="G3021" s="40" t="s">
        <v>1566</v>
      </c>
      <c r="H3021" s="7" t="s">
        <v>1706</v>
      </c>
      <c r="I3021" s="252">
        <v>210</v>
      </c>
      <c r="J3021" s="252">
        <v>26498.423809523811</v>
      </c>
      <c r="K3021" s="38">
        <f t="shared" si="172"/>
        <v>5564669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customHeight="1">
      <c r="A3022" s="204" t="str">
        <f>IF(B3022&lt;&gt;"",IF(AND(B3022&gt;=_TM1,B3022&lt;=_TM2,OR(TH!L3022="1111",TH!M3022="1111")),TH!D3022,""),"")</f>
        <v/>
      </c>
      <c r="B3022" s="36">
        <f t="shared" si="170"/>
        <v>4</v>
      </c>
      <c r="C3022" s="37">
        <f t="shared" si="171"/>
        <v>41025</v>
      </c>
      <c r="D3022" s="37" t="s">
        <v>1738</v>
      </c>
      <c r="E3022" s="191">
        <v>41025</v>
      </c>
      <c r="F3022" s="40" t="s">
        <v>1483</v>
      </c>
      <c r="G3022" s="40" t="s">
        <v>1566</v>
      </c>
      <c r="H3022" s="7" t="s">
        <v>1706</v>
      </c>
      <c r="I3022" s="252">
        <v>328</v>
      </c>
      <c r="J3022" s="252">
        <v>18465.795731707316</v>
      </c>
      <c r="K3022" s="38">
        <f t="shared" si="172"/>
        <v>6056781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customHeight="1">
      <c r="A3023" s="204" t="str">
        <f>IF(B3023&lt;&gt;"",IF(AND(B3023&gt;=_TM1,B3023&lt;=_TM2,OR(TH!L3023="1111",TH!M3023="1111")),TH!D3023,""),"")</f>
        <v/>
      </c>
      <c r="B3023" s="36">
        <f t="shared" si="170"/>
        <v>4</v>
      </c>
      <c r="C3023" s="37">
        <f t="shared" si="171"/>
        <v>41025</v>
      </c>
      <c r="D3023" s="37" t="s">
        <v>1738</v>
      </c>
      <c r="E3023" s="191">
        <v>41025</v>
      </c>
      <c r="F3023" s="40" t="s">
        <v>1111</v>
      </c>
      <c r="G3023" s="40" t="s">
        <v>1566</v>
      </c>
      <c r="H3023" s="7" t="s">
        <v>1706</v>
      </c>
      <c r="I3023" s="252">
        <v>500</v>
      </c>
      <c r="J3023" s="252">
        <v>1804.14</v>
      </c>
      <c r="K3023" s="38">
        <f t="shared" si="172"/>
        <v>902070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customHeight="1">
      <c r="A3024" s="204" t="str">
        <f>IF(B3024&lt;&gt;"",IF(AND(B3024&gt;=_TM1,B3024&lt;=_TM2,OR(TH!L3024="1111",TH!M3024="1111")),TH!D3024,""),"")</f>
        <v/>
      </c>
      <c r="B3024" s="36">
        <f t="shared" si="170"/>
        <v>4</v>
      </c>
      <c r="C3024" s="37">
        <f t="shared" si="171"/>
        <v>41025</v>
      </c>
      <c r="D3024" s="37" t="s">
        <v>1738</v>
      </c>
      <c r="E3024" s="191">
        <v>41025</v>
      </c>
      <c r="F3024" s="40" t="s">
        <v>1484</v>
      </c>
      <c r="G3024" s="40" t="s">
        <v>1566</v>
      </c>
      <c r="H3024" s="7" t="s">
        <v>1706</v>
      </c>
      <c r="I3024" s="252">
        <v>150</v>
      </c>
      <c r="J3024" s="252">
        <v>29156.04</v>
      </c>
      <c r="K3024" s="38">
        <f t="shared" si="172"/>
        <v>4373406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customHeight="1">
      <c r="A3025" s="204" t="str">
        <f>IF(B3025&lt;&gt;"",IF(AND(B3025&gt;=_TM1,B3025&lt;=_TM2,OR(TH!L3025="1111",TH!M3025="1111")),TH!D3025,""),"")</f>
        <v/>
      </c>
      <c r="B3025" s="36">
        <f t="shared" si="170"/>
        <v>4</v>
      </c>
      <c r="C3025" s="37">
        <f t="shared" si="171"/>
        <v>41025</v>
      </c>
      <c r="D3025" s="37" t="s">
        <v>1738</v>
      </c>
      <c r="E3025" s="191">
        <v>41025</v>
      </c>
      <c r="F3025" s="40" t="s">
        <v>1485</v>
      </c>
      <c r="G3025" s="40" t="s">
        <v>1566</v>
      </c>
      <c r="H3025" s="7" t="s">
        <v>1706</v>
      </c>
      <c r="I3025" s="252">
        <v>240</v>
      </c>
      <c r="J3025" s="252">
        <v>3726.0416666666665</v>
      </c>
      <c r="K3025" s="38">
        <f t="shared" si="172"/>
        <v>894250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customHeight="1">
      <c r="A3026" s="204" t="str">
        <f>IF(B3026&lt;&gt;"",IF(AND(B3026&gt;=_TM1,B3026&lt;=_TM2,OR(TH!L3026="1111",TH!M3026="1111")),TH!D3026,""),"")</f>
        <v/>
      </c>
      <c r="B3026" s="36">
        <f t="shared" si="170"/>
        <v>4</v>
      </c>
      <c r="C3026" s="37">
        <f t="shared" si="171"/>
        <v>41025</v>
      </c>
      <c r="D3026" s="37" t="s">
        <v>1738</v>
      </c>
      <c r="E3026" s="191">
        <v>41025</v>
      </c>
      <c r="F3026" s="40" t="s">
        <v>1112</v>
      </c>
      <c r="G3026" s="40" t="s">
        <v>1566</v>
      </c>
      <c r="H3026" s="7" t="s">
        <v>1706</v>
      </c>
      <c r="I3026" s="252">
        <v>4096</v>
      </c>
      <c r="J3026" s="252">
        <v>1322.947509765625</v>
      </c>
      <c r="K3026" s="38">
        <f t="shared" si="172"/>
        <v>5418793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customHeight="1">
      <c r="A3027" s="204" t="str">
        <f>IF(B3027&lt;&gt;"",IF(AND(B3027&gt;=_TM1,B3027&lt;=_TM2,OR(TH!L3027="1111",TH!M3027="1111")),TH!D3027,""),"")</f>
        <v/>
      </c>
      <c r="B3027" s="36">
        <f t="shared" si="170"/>
        <v>4</v>
      </c>
      <c r="C3027" s="37">
        <f t="shared" si="171"/>
        <v>41025</v>
      </c>
      <c r="D3027" s="37" t="s">
        <v>1738</v>
      </c>
      <c r="E3027" s="191">
        <v>41025</v>
      </c>
      <c r="F3027" s="40" t="s">
        <v>1535</v>
      </c>
      <c r="G3027" s="40" t="s">
        <v>1010</v>
      </c>
      <c r="H3027" s="7" t="s">
        <v>1706</v>
      </c>
      <c r="I3027" s="252">
        <v>250</v>
      </c>
      <c r="J3027" s="252">
        <v>15631.04</v>
      </c>
      <c r="K3027" s="38">
        <f t="shared" si="172"/>
        <v>3907760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customHeight="1">
      <c r="A3028" s="204" t="str">
        <f>IF(B3028&lt;&gt;"",IF(AND(B3028&gt;=_TM1,B3028&lt;=_TM2,OR(TH!L3028="1111",TH!M3028="1111")),TH!D3028,""),"")</f>
        <v/>
      </c>
      <c r="B3028" s="36">
        <f t="shared" si="170"/>
        <v>4</v>
      </c>
      <c r="C3028" s="37">
        <f t="shared" si="171"/>
        <v>41025</v>
      </c>
      <c r="D3028" s="37" t="s">
        <v>1738</v>
      </c>
      <c r="E3028" s="191">
        <v>41025</v>
      </c>
      <c r="F3028" s="40" t="s">
        <v>1496</v>
      </c>
      <c r="G3028" s="40" t="s">
        <v>1010</v>
      </c>
      <c r="H3028" s="7" t="s">
        <v>1706</v>
      </c>
      <c r="I3028" s="252">
        <v>450</v>
      </c>
      <c r="J3028" s="252">
        <v>12505.15111111111</v>
      </c>
      <c r="K3028" s="38">
        <f t="shared" si="172"/>
        <v>5627318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customHeight="1">
      <c r="A3029" s="204" t="str">
        <f>IF(B3029&lt;&gt;"",IF(AND(B3029&gt;=_TM1,B3029&lt;=_TM2,OR(TH!L3029="1111",TH!M3029="1111")),TH!D3029,""),"")</f>
        <v/>
      </c>
      <c r="B3029" s="36">
        <f t="shared" si="170"/>
        <v>4</v>
      </c>
      <c r="C3029" s="37">
        <f t="shared" si="171"/>
        <v>41025</v>
      </c>
      <c r="D3029" s="37" t="s">
        <v>1738</v>
      </c>
      <c r="E3029" s="191">
        <v>41025</v>
      </c>
      <c r="F3029" s="40" t="s">
        <v>1510</v>
      </c>
      <c r="G3029" s="40" t="s">
        <v>1010</v>
      </c>
      <c r="H3029" s="7" t="s">
        <v>1706</v>
      </c>
      <c r="I3029" s="252">
        <v>330</v>
      </c>
      <c r="J3029" s="252">
        <v>14831.31212121212</v>
      </c>
      <c r="K3029" s="38">
        <f t="shared" si="172"/>
        <v>4894333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customHeight="1">
      <c r="A3030" s="204" t="str">
        <f>IF(B3030&lt;&gt;"",IF(AND(B3030&gt;=_TM1,B3030&lt;=_TM2,OR(TH!L3030="1111",TH!M3030="1111")),TH!D3030,""),"")</f>
        <v/>
      </c>
      <c r="B3030" s="36">
        <f t="shared" si="170"/>
        <v>4</v>
      </c>
      <c r="C3030" s="37">
        <f t="shared" si="171"/>
        <v>41025</v>
      </c>
      <c r="D3030" s="37" t="s">
        <v>1738</v>
      </c>
      <c r="E3030" s="191">
        <v>41025</v>
      </c>
      <c r="F3030" s="40" t="s">
        <v>1526</v>
      </c>
      <c r="G3030" s="40" t="s">
        <v>1010</v>
      </c>
      <c r="H3030" s="7" t="s">
        <v>1706</v>
      </c>
      <c r="I3030" s="252">
        <v>220</v>
      </c>
      <c r="J3030" s="252">
        <v>15784.022727272728</v>
      </c>
      <c r="K3030" s="38">
        <f t="shared" si="172"/>
        <v>3472485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customHeight="1">
      <c r="A3031" s="204" t="str">
        <f>IF(B3031&lt;&gt;"",IF(AND(B3031&gt;=_TM1,B3031&lt;=_TM2,OR(TH!L3031="1111",TH!M3031="1111")),TH!D3031,""),"")</f>
        <v/>
      </c>
      <c r="B3031" s="36">
        <f t="shared" si="170"/>
        <v>4</v>
      </c>
      <c r="C3031" s="37">
        <f t="shared" si="171"/>
        <v>41025</v>
      </c>
      <c r="D3031" s="37" t="s">
        <v>1738</v>
      </c>
      <c r="E3031" s="191">
        <v>41025</v>
      </c>
      <c r="F3031" s="40" t="s">
        <v>1538</v>
      </c>
      <c r="G3031" s="40" t="s">
        <v>1010</v>
      </c>
      <c r="H3031" s="7" t="s">
        <v>1706</v>
      </c>
      <c r="I3031" s="252">
        <v>486</v>
      </c>
      <c r="J3031" s="252">
        <v>18486.493827160495</v>
      </c>
      <c r="K3031" s="38">
        <f t="shared" si="172"/>
        <v>8984436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customHeight="1">
      <c r="A3032" s="204" t="str">
        <f>IF(B3032&lt;&gt;"",IF(AND(B3032&gt;=_TM1,B3032&lt;=_TM2,OR(TH!L3032="1111",TH!M3032="1111")),TH!D3032,""),"")</f>
        <v/>
      </c>
      <c r="B3032" s="36">
        <f t="shared" si="170"/>
        <v>4</v>
      </c>
      <c r="C3032" s="37">
        <f t="shared" si="171"/>
        <v>41025</v>
      </c>
      <c r="D3032" s="37" t="s">
        <v>1738</v>
      </c>
      <c r="E3032" s="191">
        <v>41025</v>
      </c>
      <c r="F3032" s="40" t="s">
        <v>1513</v>
      </c>
      <c r="G3032" s="40" t="s">
        <v>1010</v>
      </c>
      <c r="H3032" s="7" t="s">
        <v>1706</v>
      </c>
      <c r="I3032" s="252">
        <v>391</v>
      </c>
      <c r="J3032" s="252">
        <v>15979.826086956522</v>
      </c>
      <c r="K3032" s="38">
        <f t="shared" si="172"/>
        <v>6248112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customHeight="1">
      <c r="A3033" s="204" t="str">
        <f>IF(B3033&lt;&gt;"",IF(AND(B3033&gt;=_TM1,B3033&lt;=_TM2,OR(TH!L3033="1111",TH!M3033="1111")),TH!D3033,""),"")</f>
        <v/>
      </c>
      <c r="B3033" s="36">
        <f t="shared" si="170"/>
        <v>4</v>
      </c>
      <c r="C3033" s="37">
        <f t="shared" si="171"/>
        <v>41025</v>
      </c>
      <c r="D3033" s="37" t="s">
        <v>1738</v>
      </c>
      <c r="E3033" s="191">
        <v>41025</v>
      </c>
      <c r="F3033" s="40" t="s">
        <v>1532</v>
      </c>
      <c r="G3033" s="40" t="s">
        <v>1010</v>
      </c>
      <c r="H3033" s="7" t="s">
        <v>1706</v>
      </c>
      <c r="I3033" s="252">
        <v>339</v>
      </c>
      <c r="J3033" s="252">
        <v>25315.421828908555</v>
      </c>
      <c r="K3033" s="38">
        <f t="shared" si="172"/>
        <v>8581928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customHeight="1">
      <c r="A3034" s="204" t="str">
        <f>IF(B3034&lt;&gt;"",IF(AND(B3034&gt;=_TM1,B3034&lt;=_TM2,OR(TH!L3034="1111",TH!M3034="1111")),TH!D3034,""),"")</f>
        <v/>
      </c>
      <c r="B3034" s="36">
        <f t="shared" si="170"/>
        <v>4</v>
      </c>
      <c r="C3034" s="37">
        <f t="shared" si="171"/>
        <v>41025</v>
      </c>
      <c r="D3034" s="37" t="s">
        <v>1738</v>
      </c>
      <c r="E3034" s="191">
        <v>41025</v>
      </c>
      <c r="F3034" s="40" t="s">
        <v>1516</v>
      </c>
      <c r="G3034" s="40" t="s">
        <v>1010</v>
      </c>
      <c r="H3034" s="7" t="s">
        <v>1706</v>
      </c>
      <c r="I3034" s="252">
        <v>366</v>
      </c>
      <c r="J3034" s="252">
        <v>18978.040983606559</v>
      </c>
      <c r="K3034" s="38">
        <f t="shared" si="172"/>
        <v>6945963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customHeight="1">
      <c r="A3035" s="204" t="str">
        <f>IF(B3035&lt;&gt;"",IF(AND(B3035&gt;=_TM1,B3035&lt;=_TM2,OR(TH!L3035="1111",TH!M3035="1111")),TH!D3035,""),"")</f>
        <v/>
      </c>
      <c r="B3035" s="36">
        <f t="shared" si="170"/>
        <v>4</v>
      </c>
      <c r="C3035" s="37">
        <f t="shared" si="171"/>
        <v>41025</v>
      </c>
      <c r="D3035" s="37" t="s">
        <v>1738</v>
      </c>
      <c r="E3035" s="191">
        <v>41025</v>
      </c>
      <c r="F3035" s="40" t="s">
        <v>1523</v>
      </c>
      <c r="G3035" s="40" t="s">
        <v>1010</v>
      </c>
      <c r="H3035" s="7" t="s">
        <v>1706</v>
      </c>
      <c r="I3035" s="252">
        <v>265</v>
      </c>
      <c r="J3035" s="252">
        <v>12690.686792452831</v>
      </c>
      <c r="K3035" s="38">
        <f t="shared" si="172"/>
        <v>3363032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customHeight="1">
      <c r="A3036" s="204" t="str">
        <f>IF(B3036&lt;&gt;"",IF(AND(B3036&gt;=_TM1,B3036&lt;=_TM2,OR(TH!L3036="1111",TH!M3036="1111")),TH!D3036,""),"")</f>
        <v/>
      </c>
      <c r="B3036" s="36">
        <f t="shared" si="170"/>
        <v>4</v>
      </c>
      <c r="C3036" s="37">
        <f t="shared" si="171"/>
        <v>41025</v>
      </c>
      <c r="D3036" s="37" t="s">
        <v>1738</v>
      </c>
      <c r="E3036" s="191">
        <v>41025</v>
      </c>
      <c r="F3036" s="40" t="s">
        <v>1524</v>
      </c>
      <c r="G3036" s="40" t="s">
        <v>1010</v>
      </c>
      <c r="H3036" s="7" t="s">
        <v>1706</v>
      </c>
      <c r="I3036" s="252">
        <v>460</v>
      </c>
      <c r="J3036" s="252">
        <v>21410.702173913043</v>
      </c>
      <c r="K3036" s="38">
        <f t="shared" si="172"/>
        <v>9848923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customHeight="1">
      <c r="A3037" s="204" t="str">
        <f>IF(B3037&lt;&gt;"",IF(AND(B3037&gt;=_TM1,B3037&lt;=_TM2,OR(TH!L3037="1111",TH!M3037="1111")),TH!D3037,""),"")</f>
        <v/>
      </c>
      <c r="B3037" s="36">
        <f t="shared" si="170"/>
        <v>4</v>
      </c>
      <c r="C3037" s="37">
        <f t="shared" si="171"/>
        <v>41028</v>
      </c>
      <c r="D3037" s="37" t="s">
        <v>1738</v>
      </c>
      <c r="E3037" s="191">
        <v>41028</v>
      </c>
      <c r="F3037" s="40" t="s">
        <v>1546</v>
      </c>
      <c r="G3037" s="40" t="s">
        <v>1568</v>
      </c>
      <c r="H3037" s="7" t="s">
        <v>1706</v>
      </c>
      <c r="I3037" s="252">
        <v>250</v>
      </c>
      <c r="J3037" s="252">
        <v>19929.04</v>
      </c>
      <c r="K3037" s="38">
        <f t="shared" si="172"/>
        <v>4982260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customHeight="1">
      <c r="A3038" s="204" t="str">
        <f>IF(B3038&lt;&gt;"",IF(AND(B3038&gt;=_TM1,B3038&lt;=_TM2,OR(TH!L3038="1111",TH!M3038="1111")),TH!D3038,""),"")</f>
        <v/>
      </c>
      <c r="B3038" s="36">
        <f t="shared" si="170"/>
        <v>4</v>
      </c>
      <c r="C3038" s="37">
        <f t="shared" si="171"/>
        <v>41028</v>
      </c>
      <c r="D3038" s="37" t="s">
        <v>1738</v>
      </c>
      <c r="E3038" s="191">
        <v>41028</v>
      </c>
      <c r="F3038" s="40" t="s">
        <v>1515</v>
      </c>
      <c r="G3038" s="40" t="s">
        <v>1568</v>
      </c>
      <c r="H3038" s="7" t="s">
        <v>1706</v>
      </c>
      <c r="I3038" s="252">
        <v>450</v>
      </c>
      <c r="J3038" s="252">
        <v>10780.706666666667</v>
      </c>
      <c r="K3038" s="38">
        <f t="shared" si="172"/>
        <v>4851318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customHeight="1">
      <c r="A3039" s="204" t="str">
        <f>IF(B3039&lt;&gt;"",IF(AND(B3039&gt;=_TM1,B3039&lt;=_TM2,OR(TH!L3039="1111",TH!M3039="1111")),TH!D3039,""),"")</f>
        <v/>
      </c>
      <c r="B3039" s="36">
        <f t="shared" si="170"/>
        <v>4</v>
      </c>
      <c r="C3039" s="37">
        <f t="shared" si="171"/>
        <v>41028</v>
      </c>
      <c r="D3039" s="37" t="s">
        <v>1738</v>
      </c>
      <c r="E3039" s="191">
        <v>41028</v>
      </c>
      <c r="F3039" s="40" t="s">
        <v>1540</v>
      </c>
      <c r="G3039" s="40" t="s">
        <v>1568</v>
      </c>
      <c r="H3039" s="7" t="s">
        <v>1706</v>
      </c>
      <c r="I3039" s="252">
        <v>180</v>
      </c>
      <c r="J3039" s="252">
        <v>10937.705555555556</v>
      </c>
      <c r="K3039" s="38">
        <f t="shared" si="172"/>
        <v>1968787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customHeight="1">
      <c r="A3040" s="204" t="str">
        <f>IF(B3040&lt;&gt;"",IF(AND(B3040&gt;=_TM1,B3040&lt;=_TM2,OR(TH!L3040="1111",TH!M3040="1111")),TH!D3040,""),"")</f>
        <v/>
      </c>
      <c r="B3040" s="36">
        <f t="shared" si="170"/>
        <v>4</v>
      </c>
      <c r="C3040" s="37">
        <f t="shared" si="171"/>
        <v>41028</v>
      </c>
      <c r="D3040" s="37" t="s">
        <v>1738</v>
      </c>
      <c r="E3040" s="191">
        <v>41028</v>
      </c>
      <c r="F3040" s="40" t="s">
        <v>1515</v>
      </c>
      <c r="G3040" s="40" t="s">
        <v>1568</v>
      </c>
      <c r="H3040" s="7" t="s">
        <v>1706</v>
      </c>
      <c r="I3040" s="252">
        <v>879</v>
      </c>
      <c r="J3040" s="252">
        <v>12031.040955631399</v>
      </c>
      <c r="K3040" s="38">
        <f t="shared" si="172"/>
        <v>10575285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customHeight="1">
      <c r="A3041" s="204" t="str">
        <f>IF(B3041&lt;&gt;"",IF(AND(B3041&gt;=_TM1,B3041&lt;=_TM2,OR(TH!L3041="1111",TH!M3041="1111")),TH!D3041,""),"")</f>
        <v/>
      </c>
      <c r="B3041" s="36">
        <f t="shared" si="170"/>
        <v>4</v>
      </c>
      <c r="C3041" s="37">
        <f t="shared" si="171"/>
        <v>41028</v>
      </c>
      <c r="D3041" s="37" t="s">
        <v>1738</v>
      </c>
      <c r="E3041" s="191">
        <v>41028</v>
      </c>
      <c r="F3041" s="40" t="s">
        <v>1542</v>
      </c>
      <c r="G3041" s="40" t="s">
        <v>1568</v>
      </c>
      <c r="H3041" s="7" t="s">
        <v>1706</v>
      </c>
      <c r="I3041" s="252">
        <v>506</v>
      </c>
      <c r="J3041" s="252">
        <v>12031.041501976284</v>
      </c>
      <c r="K3041" s="38">
        <f t="shared" si="172"/>
        <v>6087707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customHeight="1">
      <c r="A3042" s="204" t="str">
        <f>IF(B3042&lt;&gt;"",IF(AND(B3042&gt;=_TM1,B3042&lt;=_TM2,OR(TH!L3042="1111",TH!M3042="1111")),TH!D3042,""),"")</f>
        <v/>
      </c>
      <c r="B3042" s="36">
        <f t="shared" si="170"/>
        <v>4</v>
      </c>
      <c r="C3042" s="37">
        <f t="shared" si="171"/>
        <v>41028</v>
      </c>
      <c r="D3042" s="37" t="s">
        <v>1738</v>
      </c>
      <c r="E3042" s="191">
        <v>41028</v>
      </c>
      <c r="F3042" s="40" t="s">
        <v>1543</v>
      </c>
      <c r="G3042" s="40" t="s">
        <v>1568</v>
      </c>
      <c r="H3042" s="7" t="s">
        <v>1706</v>
      </c>
      <c r="I3042" s="252">
        <v>793</v>
      </c>
      <c r="J3042" s="252">
        <v>12773.390920554855</v>
      </c>
      <c r="K3042" s="38">
        <f t="shared" si="172"/>
        <v>10129299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customHeight="1">
      <c r="A3043" s="204" t="str">
        <f>IF(B3043&lt;&gt;"",IF(AND(B3043&gt;=_TM1,B3043&lt;=_TM2,OR(TH!L3043="1111",TH!M3043="1111")),TH!D3043,""),"")</f>
        <v/>
      </c>
      <c r="B3043" s="36">
        <f t="shared" si="170"/>
        <v>4</v>
      </c>
      <c r="C3043" s="37">
        <f t="shared" si="171"/>
        <v>41028</v>
      </c>
      <c r="D3043" s="37" t="s">
        <v>1738</v>
      </c>
      <c r="E3043" s="191">
        <v>41028</v>
      </c>
      <c r="F3043" s="40" t="s">
        <v>1544</v>
      </c>
      <c r="G3043" s="40" t="s">
        <v>1568</v>
      </c>
      <c r="H3043" s="7" t="s">
        <v>1706</v>
      </c>
      <c r="I3043" s="252">
        <v>860</v>
      </c>
      <c r="J3043" s="252">
        <v>16297.941860465116</v>
      </c>
      <c r="K3043" s="38">
        <f t="shared" si="172"/>
        <v>14016230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customHeight="1">
      <c r="A3044" s="204" t="str">
        <f>IF(B3044&lt;&gt;"",IF(AND(B3044&gt;=_TM1,B3044&lt;=_TM2,OR(TH!L3044="1111",TH!M3044="1111")),TH!D3044,""),"")</f>
        <v/>
      </c>
      <c r="B3044" s="36">
        <f t="shared" si="170"/>
        <v>4</v>
      </c>
      <c r="C3044" s="37">
        <f t="shared" si="171"/>
        <v>41028</v>
      </c>
      <c r="D3044" s="37" t="s">
        <v>1738</v>
      </c>
      <c r="E3044" s="191">
        <v>41028</v>
      </c>
      <c r="F3044" s="40" t="s">
        <v>1545</v>
      </c>
      <c r="G3044" s="40" t="s">
        <v>1568</v>
      </c>
      <c r="H3044" s="7" t="s">
        <v>1706</v>
      </c>
      <c r="I3044" s="252">
        <v>356</v>
      </c>
      <c r="J3044" s="252">
        <v>11630.042134831461</v>
      </c>
      <c r="K3044" s="38">
        <f t="shared" si="172"/>
        <v>4140295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customHeight="1">
      <c r="A3045" s="204" t="str">
        <f>IF(B3045&lt;&gt;"",IF(AND(B3045&gt;=_TM1,B3045&lt;=_TM2,OR(TH!L3045="1111",TH!M3045="1111")),TH!D3045,""),"")</f>
        <v/>
      </c>
      <c r="B3045" s="36">
        <f t="shared" si="170"/>
        <v>4</v>
      </c>
      <c r="C3045" s="37">
        <f t="shared" si="171"/>
        <v>41028</v>
      </c>
      <c r="D3045" s="37" t="s">
        <v>1738</v>
      </c>
      <c r="E3045" s="191">
        <v>41028</v>
      </c>
      <c r="F3045" s="40" t="s">
        <v>1542</v>
      </c>
      <c r="G3045" s="40" t="s">
        <v>1568</v>
      </c>
      <c r="H3045" s="7" t="s">
        <v>1706</v>
      </c>
      <c r="I3045" s="252">
        <v>350</v>
      </c>
      <c r="J3045" s="252">
        <v>12031.04</v>
      </c>
      <c r="K3045" s="38">
        <f t="shared" si="172"/>
        <v>4210864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customHeight="1">
      <c r="A3046" s="204" t="str">
        <f>IF(B3046&lt;&gt;"",IF(AND(B3046&gt;=_TM1,B3046&lt;=_TM2,OR(TH!L3046="1111",TH!M3046="1111")),TH!D3046,""),"")</f>
        <v/>
      </c>
      <c r="B3046" s="36">
        <f t="shared" si="170"/>
        <v>4</v>
      </c>
      <c r="C3046" s="37">
        <f t="shared" si="171"/>
        <v>41028</v>
      </c>
      <c r="D3046" s="37" t="s">
        <v>1738</v>
      </c>
      <c r="E3046" s="191">
        <v>41028</v>
      </c>
      <c r="F3046" s="40" t="s">
        <v>1543</v>
      </c>
      <c r="G3046" s="40" t="s">
        <v>1568</v>
      </c>
      <c r="H3046" s="7" t="s">
        <v>1706</v>
      </c>
      <c r="I3046" s="252">
        <v>452</v>
      </c>
      <c r="J3046" s="252">
        <v>12755.778761061947</v>
      </c>
      <c r="K3046" s="38">
        <f t="shared" si="172"/>
        <v>5765612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customHeight="1">
      <c r="A3047" s="204" t="str">
        <f>IF(B3047&lt;&gt;"",IF(AND(B3047&gt;=_TM1,B3047&lt;=_TM2,OR(TH!L3047="1111",TH!M3047="1111")),TH!D3047,""),"")</f>
        <v/>
      </c>
      <c r="B3047" s="36">
        <f t="shared" si="170"/>
        <v>4</v>
      </c>
      <c r="C3047" s="37">
        <f t="shared" si="171"/>
        <v>41028</v>
      </c>
      <c r="D3047" s="37" t="s">
        <v>1738</v>
      </c>
      <c r="E3047" s="191">
        <v>41028</v>
      </c>
      <c r="F3047" s="40" t="s">
        <v>1544</v>
      </c>
      <c r="G3047" s="40" t="s">
        <v>1568</v>
      </c>
      <c r="H3047" s="7" t="s">
        <v>1706</v>
      </c>
      <c r="I3047" s="252">
        <v>972</v>
      </c>
      <c r="J3047" s="252">
        <v>16297.942386831275</v>
      </c>
      <c r="K3047" s="38">
        <f t="shared" si="172"/>
        <v>15841600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customHeight="1">
      <c r="A3048" s="204" t="str">
        <f>IF(B3048&lt;&gt;"",IF(AND(B3048&gt;=_TM1,B3048&lt;=_TM2,OR(TH!L3048="1111",TH!M3048="1111")),TH!D3048,""),"")</f>
        <v/>
      </c>
      <c r="B3048" s="36">
        <f t="shared" si="170"/>
        <v>5</v>
      </c>
      <c r="C3048" s="37">
        <f t="shared" si="171"/>
        <v>41031</v>
      </c>
      <c r="D3048" s="37" t="s">
        <v>1738</v>
      </c>
      <c r="E3048" s="191">
        <v>41031</v>
      </c>
      <c r="F3048" s="40" t="s">
        <v>1207</v>
      </c>
      <c r="G3048" s="40" t="s">
        <v>980</v>
      </c>
      <c r="H3048" s="7" t="s">
        <v>1706</v>
      </c>
      <c r="I3048" s="252">
        <v>200</v>
      </c>
      <c r="J3048" s="252">
        <v>18323.04</v>
      </c>
      <c r="K3048" s="38">
        <f t="shared" si="172"/>
        <v>3664608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customHeight="1">
      <c r="A3049" s="204" t="str">
        <f>IF(B3049&lt;&gt;"",IF(AND(B3049&gt;=_TM1,B3049&lt;=_TM2,OR(TH!L3049="1111",TH!M3049="1111")),TH!D3049,""),"")</f>
        <v/>
      </c>
      <c r="B3049" s="36">
        <f t="shared" si="170"/>
        <v>5</v>
      </c>
      <c r="C3049" s="37">
        <f t="shared" si="171"/>
        <v>41031</v>
      </c>
      <c r="D3049" s="37" t="s">
        <v>1738</v>
      </c>
      <c r="E3049" s="191">
        <v>41031</v>
      </c>
      <c r="F3049" s="40" t="s">
        <v>1232</v>
      </c>
      <c r="G3049" s="40" t="s">
        <v>980</v>
      </c>
      <c r="H3049" s="7" t="s">
        <v>1706</v>
      </c>
      <c r="I3049" s="252">
        <v>100</v>
      </c>
      <c r="J3049" s="252">
        <v>13251.49</v>
      </c>
      <c r="K3049" s="38">
        <f t="shared" si="172"/>
        <v>1325149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customHeight="1">
      <c r="A3050" s="204" t="str">
        <f>IF(B3050&lt;&gt;"",IF(AND(B3050&gt;=_TM1,B3050&lt;=_TM2,OR(TH!L3050="1111",TH!M3050="1111")),TH!D3050,""),"")</f>
        <v/>
      </c>
      <c r="B3050" s="36">
        <f t="shared" si="170"/>
        <v>5</v>
      </c>
      <c r="C3050" s="37">
        <f t="shared" si="171"/>
        <v>41032</v>
      </c>
      <c r="D3050" s="37" t="s">
        <v>1738</v>
      </c>
      <c r="E3050" s="191">
        <v>41032</v>
      </c>
      <c r="F3050" s="40" t="s">
        <v>1206</v>
      </c>
      <c r="G3050" s="40" t="s">
        <v>982</v>
      </c>
      <c r="H3050" s="7" t="s">
        <v>1706</v>
      </c>
      <c r="I3050" s="252">
        <v>317</v>
      </c>
      <c r="J3050" s="252">
        <v>14421.466876971608</v>
      </c>
      <c r="K3050" s="38">
        <f t="shared" si="172"/>
        <v>4571605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customHeight="1">
      <c r="A3051" s="204" t="str">
        <f>IF(B3051&lt;&gt;"",IF(AND(B3051&gt;=_TM1,B3051&lt;=_TM2,OR(TH!L3051="1111",TH!M3051="1111")),TH!D3051,""),"")</f>
        <v/>
      </c>
      <c r="B3051" s="36">
        <f t="shared" si="170"/>
        <v>5</v>
      </c>
      <c r="C3051" s="37">
        <f t="shared" si="171"/>
        <v>41033</v>
      </c>
      <c r="D3051" s="37" t="s">
        <v>1738</v>
      </c>
      <c r="E3051" s="191">
        <v>41033</v>
      </c>
      <c r="F3051" s="40" t="s">
        <v>1149</v>
      </c>
      <c r="G3051" s="40" t="s">
        <v>983</v>
      </c>
      <c r="H3051" s="7" t="s">
        <v>1706</v>
      </c>
      <c r="I3051" s="252">
        <v>305</v>
      </c>
      <c r="J3051" s="252">
        <v>2154.5639344262295</v>
      </c>
      <c r="K3051" s="38">
        <f t="shared" si="172"/>
        <v>657142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customHeight="1">
      <c r="A3052" s="204" t="str">
        <f>IF(B3052&lt;&gt;"",IF(AND(B3052&gt;=_TM1,B3052&lt;=_TM2,OR(TH!L3052="1111",TH!M3052="1111")),TH!D3052,""),"")</f>
        <v/>
      </c>
      <c r="B3052" s="36">
        <f t="shared" si="170"/>
        <v>5</v>
      </c>
      <c r="C3052" s="37">
        <f t="shared" si="171"/>
        <v>41033</v>
      </c>
      <c r="D3052" s="37" t="s">
        <v>1738</v>
      </c>
      <c r="E3052" s="191">
        <v>41033</v>
      </c>
      <c r="F3052" s="40" t="s">
        <v>1205</v>
      </c>
      <c r="G3052" s="40" t="s">
        <v>983</v>
      </c>
      <c r="H3052" s="7" t="s">
        <v>1706</v>
      </c>
      <c r="I3052" s="252">
        <v>188</v>
      </c>
      <c r="J3052" s="252">
        <v>12858.170212765957</v>
      </c>
      <c r="K3052" s="38">
        <f t="shared" si="172"/>
        <v>2417336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customHeight="1">
      <c r="A3053" s="204" t="str">
        <f>IF(B3053&lt;&gt;"",IF(AND(B3053&gt;=_TM1,B3053&lt;=_TM2,OR(TH!L3053="1111",TH!M3053="1111")),TH!D3053,""),"")</f>
        <v/>
      </c>
      <c r="B3053" s="36">
        <f t="shared" si="170"/>
        <v>5</v>
      </c>
      <c r="C3053" s="37">
        <f t="shared" si="171"/>
        <v>41033</v>
      </c>
      <c r="D3053" s="37" t="s">
        <v>1738</v>
      </c>
      <c r="E3053" s="191">
        <v>41033</v>
      </c>
      <c r="F3053" s="40" t="s">
        <v>1137</v>
      </c>
      <c r="G3053" s="40" t="s">
        <v>984</v>
      </c>
      <c r="H3053" s="7" t="s">
        <v>1706</v>
      </c>
      <c r="I3053" s="252">
        <v>897</v>
      </c>
      <c r="J3053" s="252">
        <v>5641.3255295429208</v>
      </c>
      <c r="K3053" s="38">
        <f t="shared" si="172"/>
        <v>5060269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customHeight="1">
      <c r="A3054" s="204" t="str">
        <f>IF(B3054&lt;&gt;"",IF(AND(B3054&gt;=_TM1,B3054&lt;=_TM2,OR(TH!L3054="1111",TH!M3054="1111")),TH!D3054,""),"")</f>
        <v/>
      </c>
      <c r="B3054" s="36">
        <f t="shared" si="170"/>
        <v>5</v>
      </c>
      <c r="C3054" s="37">
        <f t="shared" si="171"/>
        <v>41033</v>
      </c>
      <c r="D3054" s="37" t="s">
        <v>1738</v>
      </c>
      <c r="E3054" s="191">
        <v>41033</v>
      </c>
      <c r="F3054" s="40" t="s">
        <v>1204</v>
      </c>
      <c r="G3054" s="40" t="s">
        <v>984</v>
      </c>
      <c r="H3054" s="7" t="s">
        <v>1706</v>
      </c>
      <c r="I3054" s="252">
        <v>287</v>
      </c>
      <c r="J3054" s="252">
        <v>7352.1045296167249</v>
      </c>
      <c r="K3054" s="38">
        <f t="shared" si="172"/>
        <v>2110054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customHeight="1">
      <c r="A3055" s="204" t="str">
        <f>IF(B3055&lt;&gt;"",IF(AND(B3055&gt;=_TM1,B3055&lt;=_TM2,OR(TH!L3055="1111",TH!M3055="1111")),TH!D3055,""),"")</f>
        <v/>
      </c>
      <c r="B3055" s="36">
        <f t="shared" si="170"/>
        <v>5</v>
      </c>
      <c r="C3055" s="37">
        <f t="shared" si="171"/>
        <v>41033</v>
      </c>
      <c r="D3055" s="37" t="s">
        <v>1738</v>
      </c>
      <c r="E3055" s="191">
        <v>41033</v>
      </c>
      <c r="F3055" s="40" t="s">
        <v>1203</v>
      </c>
      <c r="G3055" s="40" t="s">
        <v>984</v>
      </c>
      <c r="H3055" s="7" t="s">
        <v>1706</v>
      </c>
      <c r="I3055" s="252">
        <v>254</v>
      </c>
      <c r="J3055" s="252">
        <v>11630.039370078741</v>
      </c>
      <c r="K3055" s="38">
        <f t="shared" si="172"/>
        <v>2954030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customHeight="1">
      <c r="A3056" s="204" t="str">
        <f>IF(B3056&lt;&gt;"",IF(AND(B3056&gt;=_TM1,B3056&lt;=_TM2,OR(TH!L3056="1111",TH!M3056="1111")),TH!D3056,""),"")</f>
        <v/>
      </c>
      <c r="B3056" s="36">
        <f t="shared" si="170"/>
        <v>5</v>
      </c>
      <c r="C3056" s="37">
        <f t="shared" si="171"/>
        <v>41033</v>
      </c>
      <c r="D3056" s="37" t="s">
        <v>1738</v>
      </c>
      <c r="E3056" s="191">
        <v>41033</v>
      </c>
      <c r="F3056" s="40" t="s">
        <v>1136</v>
      </c>
      <c r="G3056" s="40" t="s">
        <v>984</v>
      </c>
      <c r="H3056" s="7" t="s">
        <v>1706</v>
      </c>
      <c r="I3056" s="252">
        <v>297</v>
      </c>
      <c r="J3056" s="252">
        <v>7741.4646464646466</v>
      </c>
      <c r="K3056" s="38">
        <f t="shared" si="172"/>
        <v>2299215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customHeight="1">
      <c r="A3057" s="204" t="str">
        <f>IF(B3057&lt;&gt;"",IF(AND(B3057&gt;=_TM1,B3057&lt;=_TM2,OR(TH!L3057="1111",TH!M3057="1111")),TH!D3057,""),"")</f>
        <v/>
      </c>
      <c r="B3057" s="36">
        <f t="shared" si="170"/>
        <v>5</v>
      </c>
      <c r="C3057" s="37">
        <f t="shared" si="171"/>
        <v>41033</v>
      </c>
      <c r="D3057" s="37" t="s">
        <v>1738</v>
      </c>
      <c r="E3057" s="191">
        <v>41033</v>
      </c>
      <c r="F3057" s="40" t="s">
        <v>1131</v>
      </c>
      <c r="G3057" s="40" t="s">
        <v>984</v>
      </c>
      <c r="H3057" s="7" t="s">
        <v>1706</v>
      </c>
      <c r="I3057" s="252">
        <v>80</v>
      </c>
      <c r="J3057" s="252">
        <v>13251.487499999999</v>
      </c>
      <c r="K3057" s="38">
        <f t="shared" si="172"/>
        <v>1060119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customHeight="1">
      <c r="A3058" s="204" t="str">
        <f>IF(B3058&lt;&gt;"",IF(AND(B3058&gt;=_TM1,B3058&lt;=_TM2,OR(TH!L3058="1111",TH!M3058="1111")),TH!D3058,""),"")</f>
        <v/>
      </c>
      <c r="B3058" s="36">
        <f t="shared" si="170"/>
        <v>5</v>
      </c>
      <c r="C3058" s="37">
        <f t="shared" si="171"/>
        <v>41036</v>
      </c>
      <c r="D3058" s="37" t="s">
        <v>1738</v>
      </c>
      <c r="E3058" s="191">
        <v>41036</v>
      </c>
      <c r="F3058" s="40" t="s">
        <v>1202</v>
      </c>
      <c r="G3058" s="40" t="s">
        <v>985</v>
      </c>
      <c r="H3058" s="7" t="s">
        <v>1706</v>
      </c>
      <c r="I3058" s="252">
        <v>308</v>
      </c>
      <c r="J3058" s="252">
        <v>4622.2759740259744</v>
      </c>
      <c r="K3058" s="38">
        <f t="shared" si="172"/>
        <v>1423661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customHeight="1">
      <c r="A3059" s="204" t="str">
        <f>IF(B3059&lt;&gt;"",IF(AND(B3059&gt;=_TM1,B3059&lt;=_TM2,OR(TH!L3059="1111",TH!M3059="1111")),TH!D3059,""),"")</f>
        <v/>
      </c>
      <c r="B3059" s="36">
        <f t="shared" si="170"/>
        <v>5</v>
      </c>
      <c r="C3059" s="37">
        <f t="shared" si="171"/>
        <v>41036</v>
      </c>
      <c r="D3059" s="37" t="s">
        <v>1738</v>
      </c>
      <c r="E3059" s="191">
        <v>41036</v>
      </c>
      <c r="F3059" s="40" t="s">
        <v>986</v>
      </c>
      <c r="G3059" s="40" t="s">
        <v>985</v>
      </c>
      <c r="H3059" s="7" t="s">
        <v>1706</v>
      </c>
      <c r="I3059" s="252">
        <v>500</v>
      </c>
      <c r="J3059" s="252">
        <v>1310.1980000000001</v>
      </c>
      <c r="K3059" s="38">
        <f t="shared" si="172"/>
        <v>655099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customHeight="1">
      <c r="A3060" s="204" t="str">
        <f>IF(B3060&lt;&gt;"",IF(AND(B3060&gt;=_TM1,B3060&lt;=_TM2,OR(TH!L3060="1111",TH!M3060="1111")),TH!D3060,""),"")</f>
        <v/>
      </c>
      <c r="B3060" s="36">
        <f t="shared" si="170"/>
        <v>5</v>
      </c>
      <c r="C3060" s="37">
        <f t="shared" si="171"/>
        <v>41036</v>
      </c>
      <c r="D3060" s="37" t="s">
        <v>1738</v>
      </c>
      <c r="E3060" s="191">
        <v>41036</v>
      </c>
      <c r="F3060" s="40" t="s">
        <v>987</v>
      </c>
      <c r="G3060" s="40" t="s">
        <v>985</v>
      </c>
      <c r="H3060" s="7" t="s">
        <v>1706</v>
      </c>
      <c r="I3060" s="252">
        <v>5000</v>
      </c>
      <c r="J3060" s="252">
        <v>1310.8507999999999</v>
      </c>
      <c r="K3060" s="38">
        <f t="shared" si="172"/>
        <v>6554254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customHeight="1">
      <c r="A3061" s="204" t="str">
        <f>IF(B3061&lt;&gt;"",IF(AND(B3061&gt;=_TM1,B3061&lt;=_TM2,OR(TH!L3061="1111",TH!M3061="1111")),TH!D3061,""),"")</f>
        <v/>
      </c>
      <c r="B3061" s="36">
        <f t="shared" si="170"/>
        <v>5</v>
      </c>
      <c r="C3061" s="37">
        <f t="shared" si="171"/>
        <v>41037</v>
      </c>
      <c r="D3061" s="37" t="s">
        <v>1738</v>
      </c>
      <c r="E3061" s="191">
        <v>41037</v>
      </c>
      <c r="F3061" s="40" t="s">
        <v>1153</v>
      </c>
      <c r="G3061" s="40" t="s">
        <v>988</v>
      </c>
      <c r="H3061" s="7" t="s">
        <v>1706</v>
      </c>
      <c r="I3061" s="252">
        <v>795</v>
      </c>
      <c r="J3061" s="252">
        <v>5731.3735849056602</v>
      </c>
      <c r="K3061" s="38">
        <f t="shared" si="172"/>
        <v>4556442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customHeight="1">
      <c r="A3062" s="204" t="str">
        <f>IF(B3062&lt;&gt;"",IF(AND(B3062&gt;=_TM1,B3062&lt;=_TM2,OR(TH!L3062="1111",TH!M3062="1111")),TH!D3062,""),"")</f>
        <v/>
      </c>
      <c r="B3062" s="36">
        <f t="shared" si="170"/>
        <v>5</v>
      </c>
      <c r="C3062" s="37">
        <f t="shared" si="171"/>
        <v>41037</v>
      </c>
      <c r="D3062" s="37" t="s">
        <v>1738</v>
      </c>
      <c r="E3062" s="191">
        <v>41037</v>
      </c>
      <c r="F3062" s="40" t="s">
        <v>1570</v>
      </c>
      <c r="G3062" s="40" t="s">
        <v>1569</v>
      </c>
      <c r="H3062" s="7" t="s">
        <v>1706</v>
      </c>
      <c r="I3062" s="252">
        <v>503</v>
      </c>
      <c r="J3062" s="252">
        <v>5463.2982107355865</v>
      </c>
      <c r="K3062" s="38">
        <f t="shared" si="172"/>
        <v>2748039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customHeight="1">
      <c r="A3063" s="204" t="str">
        <f>IF(B3063&lt;&gt;"",IF(AND(B3063&gt;=_TM1,B3063&lt;=_TM2,OR(TH!L3063="1111",TH!M3063="1111")),TH!D3063,""),"")</f>
        <v/>
      </c>
      <c r="B3063" s="36">
        <f t="shared" si="170"/>
        <v>5</v>
      </c>
      <c r="C3063" s="37">
        <f t="shared" si="171"/>
        <v>41039</v>
      </c>
      <c r="D3063" s="37" t="s">
        <v>1738</v>
      </c>
      <c r="E3063" s="191">
        <v>41039</v>
      </c>
      <c r="F3063" s="40" t="s">
        <v>1201</v>
      </c>
      <c r="G3063" s="40" t="s">
        <v>990</v>
      </c>
      <c r="H3063" s="7" t="s">
        <v>1706</v>
      </c>
      <c r="I3063" s="252">
        <v>300</v>
      </c>
      <c r="J3063" s="252">
        <v>6110.04</v>
      </c>
      <c r="K3063" s="38">
        <f t="shared" si="172"/>
        <v>1833012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customHeight="1">
      <c r="A3064" s="204" t="str">
        <f>IF(B3064&lt;&gt;"",IF(AND(B3064&gt;=_TM1,B3064&lt;=_TM2,OR(TH!L3064="1111",TH!M3064="1111")),TH!D3064,""),"")</f>
        <v/>
      </c>
      <c r="B3064" s="36">
        <f t="shared" si="170"/>
        <v>5</v>
      </c>
      <c r="C3064" s="37">
        <f t="shared" si="171"/>
        <v>41041</v>
      </c>
      <c r="D3064" s="37" t="s">
        <v>1738</v>
      </c>
      <c r="E3064" s="191">
        <v>41041</v>
      </c>
      <c r="F3064" s="40" t="s">
        <v>1174</v>
      </c>
      <c r="G3064" s="40" t="s">
        <v>991</v>
      </c>
      <c r="H3064" s="7" t="s">
        <v>1706</v>
      </c>
      <c r="I3064" s="252">
        <v>1025</v>
      </c>
      <c r="J3064" s="252">
        <v>6500.919024390244</v>
      </c>
      <c r="K3064" s="38">
        <f t="shared" si="172"/>
        <v>6663442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customHeight="1">
      <c r="A3065" s="204" t="str">
        <f>IF(B3065&lt;&gt;"",IF(AND(B3065&gt;=_TM1,B3065&lt;=_TM2,OR(TH!L3065="1111",TH!M3065="1111")),TH!D3065,""),"")</f>
        <v/>
      </c>
      <c r="B3065" s="36">
        <f t="shared" si="170"/>
        <v>5</v>
      </c>
      <c r="C3065" s="37">
        <f t="shared" si="171"/>
        <v>41041</v>
      </c>
      <c r="D3065" s="37" t="s">
        <v>1738</v>
      </c>
      <c r="E3065" s="191">
        <v>41041</v>
      </c>
      <c r="F3065" s="40" t="s">
        <v>1136</v>
      </c>
      <c r="G3065" s="40" t="s">
        <v>993</v>
      </c>
      <c r="H3065" s="7" t="s">
        <v>1706</v>
      </c>
      <c r="I3065" s="252">
        <v>27</v>
      </c>
      <c r="J3065" s="252">
        <v>8696.3703703703704</v>
      </c>
      <c r="K3065" s="38">
        <f t="shared" si="172"/>
        <v>234802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customHeight="1">
      <c r="A3066" s="204" t="str">
        <f>IF(B3066&lt;&gt;"",IF(AND(B3066&gt;=_TM1,B3066&lt;=_TM2,OR(TH!L3066="1111",TH!M3066="1111")),TH!D3066,""),"")</f>
        <v/>
      </c>
      <c r="B3066" s="36">
        <f t="shared" ref="B3066:B3183" si="173">IF(C3066&lt;&gt;"",MONTH(C3066),"")</f>
        <v>5</v>
      </c>
      <c r="C3066" s="37">
        <f t="shared" ref="C3066:C3123" si="174">E3066</f>
        <v>41041</v>
      </c>
      <c r="D3066" s="37" t="s">
        <v>1738</v>
      </c>
      <c r="E3066" s="191">
        <v>41041</v>
      </c>
      <c r="F3066" s="40" t="s">
        <v>1118</v>
      </c>
      <c r="G3066" s="40" t="s">
        <v>993</v>
      </c>
      <c r="H3066" s="7" t="s">
        <v>1706</v>
      </c>
      <c r="I3066" s="252">
        <v>1350</v>
      </c>
      <c r="J3066" s="252">
        <v>4798.0407407407411</v>
      </c>
      <c r="K3066" s="38">
        <f t="shared" ref="K3066:K3123" si="175">ROUND(I3066*J3066,0)</f>
        <v>6477355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customHeight="1">
      <c r="A3067" s="204" t="str">
        <f>IF(B3067&lt;&gt;"",IF(AND(B3067&gt;=_TM1,B3067&lt;=_TM2,OR(TH!L3067="1111",TH!M3067="1111")),TH!D3067,""),"")</f>
        <v/>
      </c>
      <c r="B3067" s="36">
        <f t="shared" si="173"/>
        <v>5</v>
      </c>
      <c r="C3067" s="37">
        <f t="shared" si="174"/>
        <v>41041</v>
      </c>
      <c r="D3067" s="37" t="s">
        <v>1738</v>
      </c>
      <c r="E3067" s="191">
        <v>41041</v>
      </c>
      <c r="F3067" s="40" t="s">
        <v>1133</v>
      </c>
      <c r="G3067" s="40" t="s">
        <v>993</v>
      </c>
      <c r="H3067" s="7" t="s">
        <v>1706</v>
      </c>
      <c r="I3067" s="252">
        <v>200</v>
      </c>
      <c r="J3067" s="252">
        <v>8835.5400000000009</v>
      </c>
      <c r="K3067" s="38">
        <f t="shared" si="175"/>
        <v>1767108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customHeight="1">
      <c r="A3068" s="204" t="str">
        <f>IF(B3068&lt;&gt;"",IF(AND(B3068&gt;=_TM1,B3068&lt;=_TM2,OR(TH!L3068="1111",TH!M3068="1111")),TH!D3068,""),"")</f>
        <v/>
      </c>
      <c r="B3068" s="36">
        <f t="shared" si="173"/>
        <v>5</v>
      </c>
      <c r="C3068" s="37">
        <f t="shared" si="174"/>
        <v>41041</v>
      </c>
      <c r="D3068" s="37" t="s">
        <v>1738</v>
      </c>
      <c r="E3068" s="191">
        <v>41041</v>
      </c>
      <c r="F3068" s="40" t="s">
        <v>1131</v>
      </c>
      <c r="G3068" s="40" t="s">
        <v>993</v>
      </c>
      <c r="H3068" s="7" t="s">
        <v>1706</v>
      </c>
      <c r="I3068" s="252">
        <v>89</v>
      </c>
      <c r="J3068" s="252">
        <v>13251.483146067416</v>
      </c>
      <c r="K3068" s="38">
        <f t="shared" si="175"/>
        <v>1179382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customHeight="1">
      <c r="A3069" s="204" t="str">
        <f>IF(B3069&lt;&gt;"",IF(AND(B3069&gt;=_TM1,B3069&lt;=_TM2,OR(TH!L3069="1111",TH!M3069="1111")),TH!D3069,""),"")</f>
        <v/>
      </c>
      <c r="B3069" s="36">
        <f t="shared" si="173"/>
        <v>5</v>
      </c>
      <c r="C3069" s="37">
        <f t="shared" si="174"/>
        <v>41045</v>
      </c>
      <c r="D3069" s="37" t="s">
        <v>1738</v>
      </c>
      <c r="E3069" s="191">
        <v>41045</v>
      </c>
      <c r="F3069" s="40" t="s">
        <v>1200</v>
      </c>
      <c r="G3069" s="40" t="s">
        <v>994</v>
      </c>
      <c r="H3069" s="7" t="s">
        <v>1706</v>
      </c>
      <c r="I3069" s="252">
        <v>451</v>
      </c>
      <c r="J3069" s="252">
        <v>7275.6629711751666</v>
      </c>
      <c r="K3069" s="38">
        <f t="shared" si="175"/>
        <v>3281324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customHeight="1">
      <c r="A3070" s="204" t="str">
        <f>IF(B3070&lt;&gt;"",IF(AND(B3070&gt;=_TM1,B3070&lt;=_TM2,OR(TH!L3070="1111",TH!M3070="1111")),TH!D3070,""),"")</f>
        <v/>
      </c>
      <c r="B3070" s="36">
        <f t="shared" si="173"/>
        <v>5</v>
      </c>
      <c r="C3070" s="37">
        <f t="shared" si="174"/>
        <v>41045</v>
      </c>
      <c r="D3070" s="37" t="s">
        <v>1738</v>
      </c>
      <c r="E3070" s="191">
        <v>41045</v>
      </c>
      <c r="F3070" s="40" t="s">
        <v>1070</v>
      </c>
      <c r="G3070" s="40" t="s">
        <v>994</v>
      </c>
      <c r="H3070" s="7" t="s">
        <v>1706</v>
      </c>
      <c r="I3070" s="252">
        <v>783</v>
      </c>
      <c r="J3070" s="252">
        <v>6580.6973180076629</v>
      </c>
      <c r="K3070" s="38">
        <f t="shared" si="175"/>
        <v>5152686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customHeight="1">
      <c r="A3071" s="204" t="str">
        <f>IF(B3071&lt;&gt;"",IF(AND(B3071&gt;=_TM1,B3071&lt;=_TM2,OR(TH!L3071="1111",TH!M3071="1111")),TH!D3071,""),"")</f>
        <v/>
      </c>
      <c r="B3071" s="36">
        <f t="shared" si="173"/>
        <v>5</v>
      </c>
      <c r="C3071" s="37">
        <f t="shared" si="174"/>
        <v>41045</v>
      </c>
      <c r="D3071" s="37" t="s">
        <v>1738</v>
      </c>
      <c r="E3071" s="191">
        <v>41045</v>
      </c>
      <c r="F3071" s="40" t="s">
        <v>1199</v>
      </c>
      <c r="G3071" s="40" t="s">
        <v>994</v>
      </c>
      <c r="H3071" s="7" t="s">
        <v>1706</v>
      </c>
      <c r="I3071" s="252">
        <v>1200</v>
      </c>
      <c r="J3071" s="252">
        <v>1484.4158333333332</v>
      </c>
      <c r="K3071" s="38">
        <f t="shared" si="175"/>
        <v>1781299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customHeight="1">
      <c r="A3072" s="204" t="str">
        <f>IF(B3072&lt;&gt;"",IF(AND(B3072&gt;=_TM1,B3072&lt;=_TM2,OR(TH!L3072="1111",TH!M3072="1111")),TH!D3072,""),"")</f>
        <v/>
      </c>
      <c r="B3072" s="36">
        <f t="shared" si="173"/>
        <v>5</v>
      </c>
      <c r="C3072" s="37">
        <f t="shared" si="174"/>
        <v>41047</v>
      </c>
      <c r="D3072" s="37" t="s">
        <v>1738</v>
      </c>
      <c r="E3072" s="191">
        <v>41047</v>
      </c>
      <c r="F3072" s="40" t="s">
        <v>1198</v>
      </c>
      <c r="G3072" s="40" t="s">
        <v>995</v>
      </c>
      <c r="H3072" s="7" t="s">
        <v>1706</v>
      </c>
      <c r="I3072" s="252">
        <v>100</v>
      </c>
      <c r="J3072" s="252">
        <v>53950.94</v>
      </c>
      <c r="K3072" s="38">
        <f t="shared" si="175"/>
        <v>5395094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customHeight="1">
      <c r="A3073" s="204" t="str">
        <f>IF(B3073&lt;&gt;"",IF(AND(B3073&gt;=_TM1,B3073&lt;=_TM2,OR(TH!L3073="1111",TH!M3073="1111")),TH!D3073,""),"")</f>
        <v/>
      </c>
      <c r="B3073" s="36">
        <f t="shared" si="173"/>
        <v>5</v>
      </c>
      <c r="C3073" s="37">
        <f t="shared" si="174"/>
        <v>41047</v>
      </c>
      <c r="D3073" s="37" t="s">
        <v>1738</v>
      </c>
      <c r="E3073" s="191">
        <v>41047</v>
      </c>
      <c r="F3073" s="40" t="s">
        <v>1197</v>
      </c>
      <c r="G3073" s="40" t="s">
        <v>995</v>
      </c>
      <c r="H3073" s="7" t="s">
        <v>1706</v>
      </c>
      <c r="I3073" s="252">
        <v>97</v>
      </c>
      <c r="J3073" s="252">
        <v>23656.041237113401</v>
      </c>
      <c r="K3073" s="38">
        <f t="shared" si="175"/>
        <v>2294636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customHeight="1">
      <c r="A3074" s="204" t="str">
        <f>IF(B3074&lt;&gt;"",IF(AND(B3074&gt;=_TM1,B3074&lt;=_TM2,OR(TH!L3074="1111",TH!M3074="1111")),TH!D3074,""),"")</f>
        <v/>
      </c>
      <c r="B3074" s="36">
        <f t="shared" si="173"/>
        <v>5</v>
      </c>
      <c r="C3074" s="37">
        <f t="shared" si="174"/>
        <v>41047</v>
      </c>
      <c r="D3074" s="37" t="s">
        <v>1738</v>
      </c>
      <c r="E3074" s="191">
        <v>41047</v>
      </c>
      <c r="F3074" s="40" t="s">
        <v>1129</v>
      </c>
      <c r="G3074" s="40" t="s">
        <v>996</v>
      </c>
      <c r="H3074" s="7" t="s">
        <v>1706</v>
      </c>
      <c r="I3074" s="252">
        <v>100</v>
      </c>
      <c r="J3074" s="252">
        <v>10588.04</v>
      </c>
      <c r="K3074" s="38">
        <f t="shared" si="175"/>
        <v>1058804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customHeight="1">
      <c r="A3075" s="204" t="str">
        <f>IF(B3075&lt;&gt;"",IF(AND(B3075&gt;=_TM1,B3075&lt;=_TM2,OR(TH!L3075="1111",TH!M3075="1111")),TH!D3075,""),"")</f>
        <v/>
      </c>
      <c r="B3075" s="36">
        <f t="shared" si="173"/>
        <v>5</v>
      </c>
      <c r="C3075" s="37">
        <f t="shared" si="174"/>
        <v>41047</v>
      </c>
      <c r="D3075" s="37" t="s">
        <v>1738</v>
      </c>
      <c r="E3075" s="191">
        <v>41047</v>
      </c>
      <c r="F3075" s="40" t="s">
        <v>1196</v>
      </c>
      <c r="G3075" s="40" t="s">
        <v>996</v>
      </c>
      <c r="H3075" s="7" t="s">
        <v>1706</v>
      </c>
      <c r="I3075" s="252">
        <v>230</v>
      </c>
      <c r="J3075" s="252">
        <v>8036.630434782609</v>
      </c>
      <c r="K3075" s="38">
        <f t="shared" si="175"/>
        <v>1848425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customHeight="1">
      <c r="A3076" s="204" t="str">
        <f>IF(B3076&lt;&gt;"",IF(AND(B3076&gt;=_TM1,B3076&lt;=_TM2,OR(TH!L3076="1111",TH!M3076="1111")),TH!D3076,""),"")</f>
        <v/>
      </c>
      <c r="B3076" s="36">
        <f t="shared" si="173"/>
        <v>5</v>
      </c>
      <c r="C3076" s="37">
        <f t="shared" si="174"/>
        <v>41047</v>
      </c>
      <c r="D3076" s="37" t="s">
        <v>1738</v>
      </c>
      <c r="E3076" s="191">
        <v>41047</v>
      </c>
      <c r="F3076" s="40" t="s">
        <v>1195</v>
      </c>
      <c r="G3076" s="40" t="s">
        <v>996</v>
      </c>
      <c r="H3076" s="7" t="s">
        <v>1706</v>
      </c>
      <c r="I3076" s="252">
        <v>328</v>
      </c>
      <c r="J3076" s="252">
        <v>12031.039634146342</v>
      </c>
      <c r="K3076" s="38">
        <f t="shared" si="175"/>
        <v>3946181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customHeight="1">
      <c r="A3077" s="204" t="str">
        <f>IF(B3077&lt;&gt;"",IF(AND(B3077&gt;=_TM1,B3077&lt;=_TM2,OR(TH!L3077="1111",TH!M3077="1111")),TH!D3077,""),"")</f>
        <v/>
      </c>
      <c r="B3077" s="36">
        <f t="shared" si="173"/>
        <v>5</v>
      </c>
      <c r="C3077" s="37">
        <f t="shared" si="174"/>
        <v>41047</v>
      </c>
      <c r="D3077" s="37" t="s">
        <v>1738</v>
      </c>
      <c r="E3077" s="191">
        <v>41047</v>
      </c>
      <c r="F3077" s="40" t="s">
        <v>1195</v>
      </c>
      <c r="G3077" s="40" t="s">
        <v>996</v>
      </c>
      <c r="H3077" s="7" t="s">
        <v>1706</v>
      </c>
      <c r="I3077" s="252">
        <v>505</v>
      </c>
      <c r="J3077" s="252">
        <v>15973.328712871287</v>
      </c>
      <c r="K3077" s="38">
        <f t="shared" si="175"/>
        <v>8066531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customHeight="1">
      <c r="A3078" s="204" t="str">
        <f>IF(B3078&lt;&gt;"",IF(AND(B3078&gt;=_TM1,B3078&lt;=_TM2,OR(TH!L3078="1111",TH!M3078="1111")),TH!D3078,""),"")</f>
        <v/>
      </c>
      <c r="B3078" s="36">
        <f t="shared" si="173"/>
        <v>5</v>
      </c>
      <c r="C3078" s="37">
        <f t="shared" si="174"/>
        <v>41051</v>
      </c>
      <c r="D3078" s="37" t="s">
        <v>1738</v>
      </c>
      <c r="E3078" s="191">
        <v>41051</v>
      </c>
      <c r="F3078" s="40" t="s">
        <v>1194</v>
      </c>
      <c r="G3078" s="40" t="s">
        <v>998</v>
      </c>
      <c r="H3078" s="7" t="s">
        <v>1706</v>
      </c>
      <c r="I3078" s="252">
        <v>327</v>
      </c>
      <c r="J3078" s="252">
        <v>3637.9969418960245</v>
      </c>
      <c r="K3078" s="38">
        <f t="shared" si="175"/>
        <v>1189625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customHeight="1">
      <c r="A3079" s="204" t="str">
        <f>IF(B3079&lt;&gt;"",IF(AND(B3079&gt;=_TM1,B3079&lt;=_TM2,OR(TH!L3079="1111",TH!M3079="1111")),TH!D3079,""),"")</f>
        <v/>
      </c>
      <c r="B3079" s="36">
        <f t="shared" si="173"/>
        <v>5</v>
      </c>
      <c r="C3079" s="37">
        <f t="shared" si="174"/>
        <v>41051</v>
      </c>
      <c r="D3079" s="37" t="s">
        <v>1738</v>
      </c>
      <c r="E3079" s="191">
        <v>41051</v>
      </c>
      <c r="F3079" s="40" t="s">
        <v>1193</v>
      </c>
      <c r="G3079" s="40" t="s">
        <v>998</v>
      </c>
      <c r="H3079" s="7" t="s">
        <v>1706</v>
      </c>
      <c r="I3079" s="252">
        <v>317</v>
      </c>
      <c r="J3079" s="252">
        <v>5603.6750788643531</v>
      </c>
      <c r="K3079" s="38">
        <f t="shared" si="175"/>
        <v>1776365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customHeight="1">
      <c r="A3080" s="204" t="str">
        <f>IF(B3080&lt;&gt;"",IF(AND(B3080&gt;=_TM1,B3080&lt;=_TM2,OR(TH!L3080="1111",TH!M3080="1111")),TH!D3080,""),"")</f>
        <v/>
      </c>
      <c r="B3080" s="36">
        <f t="shared" si="173"/>
        <v>5</v>
      </c>
      <c r="C3080" s="37">
        <f t="shared" si="174"/>
        <v>41051</v>
      </c>
      <c r="D3080" s="37" t="s">
        <v>1738</v>
      </c>
      <c r="E3080" s="191">
        <v>41051</v>
      </c>
      <c r="F3080" s="40" t="s">
        <v>1192</v>
      </c>
      <c r="G3080" s="40" t="s">
        <v>998</v>
      </c>
      <c r="H3080" s="7" t="s">
        <v>1706</v>
      </c>
      <c r="I3080" s="252">
        <v>2040</v>
      </c>
      <c r="J3080" s="252">
        <v>6842.2784313725488</v>
      </c>
      <c r="K3080" s="38">
        <f t="shared" si="175"/>
        <v>13958248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customHeight="1">
      <c r="A3081" s="204" t="str">
        <f>IF(B3081&lt;&gt;"",IF(AND(B3081&gt;=_TM1,B3081&lt;=_TM2,OR(TH!L3081="1111",TH!M3081="1111")),TH!D3081,""),"")</f>
        <v/>
      </c>
      <c r="B3081" s="36">
        <f t="shared" si="173"/>
        <v>5</v>
      </c>
      <c r="C3081" s="37">
        <f t="shared" si="174"/>
        <v>41051</v>
      </c>
      <c r="D3081" s="37" t="s">
        <v>1738</v>
      </c>
      <c r="E3081" s="191">
        <v>41051</v>
      </c>
      <c r="F3081" s="40" t="s">
        <v>1191</v>
      </c>
      <c r="G3081" s="40" t="s">
        <v>999</v>
      </c>
      <c r="H3081" s="7" t="s">
        <v>1706</v>
      </c>
      <c r="I3081" s="252">
        <v>492</v>
      </c>
      <c r="J3081" s="252">
        <v>8738.7642276422757</v>
      </c>
      <c r="K3081" s="38">
        <f t="shared" si="175"/>
        <v>4299472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customHeight="1">
      <c r="A3082" s="204" t="str">
        <f>IF(B3082&lt;&gt;"",IF(AND(B3082&gt;=_TM1,B3082&lt;=_TM2,OR(TH!L3082="1111",TH!M3082="1111")),TH!D3082,""),"")</f>
        <v/>
      </c>
      <c r="B3082" s="36">
        <f t="shared" si="173"/>
        <v>5</v>
      </c>
      <c r="C3082" s="37">
        <f t="shared" si="174"/>
        <v>41051</v>
      </c>
      <c r="D3082" s="37" t="s">
        <v>1738</v>
      </c>
      <c r="E3082" s="191">
        <v>41051</v>
      </c>
      <c r="F3082" s="40" t="s">
        <v>1190</v>
      </c>
      <c r="G3082" s="40" t="s">
        <v>999</v>
      </c>
      <c r="H3082" s="7" t="s">
        <v>1706</v>
      </c>
      <c r="I3082" s="252">
        <v>500</v>
      </c>
      <c r="J3082" s="252">
        <v>9572.0400000000009</v>
      </c>
      <c r="K3082" s="38">
        <f t="shared" si="175"/>
        <v>4786020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customHeight="1">
      <c r="A3083" s="204" t="str">
        <f>IF(B3083&lt;&gt;"",IF(AND(B3083&gt;=_TM1,B3083&lt;=_TM2,OR(TH!L3083="1111",TH!M3083="1111")),TH!D3083,""),"")</f>
        <v/>
      </c>
      <c r="B3083" s="36">
        <f t="shared" si="173"/>
        <v>5</v>
      </c>
      <c r="C3083" s="37">
        <f t="shared" si="174"/>
        <v>41051</v>
      </c>
      <c r="D3083" s="37" t="s">
        <v>1738</v>
      </c>
      <c r="E3083" s="191">
        <v>41051</v>
      </c>
      <c r="F3083" s="40" t="s">
        <v>1189</v>
      </c>
      <c r="G3083" s="40" t="s">
        <v>999</v>
      </c>
      <c r="H3083" s="7" t="s">
        <v>1706</v>
      </c>
      <c r="I3083" s="252">
        <v>982</v>
      </c>
      <c r="J3083" s="252">
        <v>10576.81466395112</v>
      </c>
      <c r="K3083" s="38">
        <f t="shared" si="175"/>
        <v>10386432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customHeight="1">
      <c r="A3084" s="204" t="str">
        <f>IF(B3084&lt;&gt;"",IF(AND(B3084&gt;=_TM1,B3084&lt;=_TM2,OR(TH!L3084="1111",TH!M3084="1111")),TH!D3084,""),"")</f>
        <v/>
      </c>
      <c r="B3084" s="36">
        <f t="shared" si="173"/>
        <v>5</v>
      </c>
      <c r="C3084" s="37">
        <f t="shared" si="174"/>
        <v>41053</v>
      </c>
      <c r="D3084" s="37" t="s">
        <v>1738</v>
      </c>
      <c r="E3084" s="191">
        <v>41053</v>
      </c>
      <c r="F3084" s="40" t="s">
        <v>1187</v>
      </c>
      <c r="G3084" s="40" t="s">
        <v>1001</v>
      </c>
      <c r="H3084" s="7" t="s">
        <v>1706</v>
      </c>
      <c r="I3084" s="252">
        <v>299</v>
      </c>
      <c r="J3084" s="252">
        <v>5902.7290969899668</v>
      </c>
      <c r="K3084" s="38">
        <f t="shared" si="175"/>
        <v>1764916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customHeight="1">
      <c r="A3085" s="204" t="str">
        <f>IF(B3085&lt;&gt;"",IF(AND(B3085&gt;=_TM1,B3085&lt;=_TM2,OR(TH!L3085="1111",TH!M3085="1111")),TH!D3085,""),"")</f>
        <v/>
      </c>
      <c r="B3085" s="36">
        <f t="shared" si="173"/>
        <v>5</v>
      </c>
      <c r="C3085" s="37">
        <f t="shared" si="174"/>
        <v>41053</v>
      </c>
      <c r="D3085" s="37" t="s">
        <v>1738</v>
      </c>
      <c r="E3085" s="191">
        <v>41053</v>
      </c>
      <c r="F3085" s="40" t="s">
        <v>1188</v>
      </c>
      <c r="G3085" s="40" t="s">
        <v>1001</v>
      </c>
      <c r="H3085" s="7" t="s">
        <v>1706</v>
      </c>
      <c r="I3085" s="252">
        <v>296</v>
      </c>
      <c r="J3085" s="252">
        <v>6734.5878378378375</v>
      </c>
      <c r="K3085" s="38">
        <f t="shared" si="175"/>
        <v>1993438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customHeight="1">
      <c r="A3086" s="204" t="str">
        <f>IF(B3086&lt;&gt;"",IF(AND(B3086&gt;=_TM1,B3086&lt;=_TM2,OR(TH!L3086="1111",TH!M3086="1111")),TH!D3086,""),"")</f>
        <v/>
      </c>
      <c r="B3086" s="36">
        <f t="shared" si="173"/>
        <v>5</v>
      </c>
      <c r="C3086" s="37">
        <f t="shared" si="174"/>
        <v>41053</v>
      </c>
      <c r="D3086" s="37" t="s">
        <v>1738</v>
      </c>
      <c r="E3086" s="191">
        <v>41053</v>
      </c>
      <c r="F3086" s="40" t="s">
        <v>1186</v>
      </c>
      <c r="G3086" s="40" t="s">
        <v>1002</v>
      </c>
      <c r="H3086" s="7" t="s">
        <v>1706</v>
      </c>
      <c r="I3086" s="252">
        <v>484</v>
      </c>
      <c r="J3086" s="252">
        <v>17604.18181818182</v>
      </c>
      <c r="K3086" s="38">
        <f t="shared" si="175"/>
        <v>8520424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customHeight="1">
      <c r="A3087" s="204" t="str">
        <f>IF(B3087&lt;&gt;"",IF(AND(B3087&gt;=_TM1,B3087&lt;=_TM2,OR(TH!L3087="1111",TH!M3087="1111")),TH!D3087,""),"")</f>
        <v/>
      </c>
      <c r="B3087" s="36">
        <f t="shared" si="173"/>
        <v>5</v>
      </c>
      <c r="C3087" s="37">
        <f t="shared" si="174"/>
        <v>41053</v>
      </c>
      <c r="D3087" s="37" t="s">
        <v>1738</v>
      </c>
      <c r="E3087" s="191">
        <v>41053</v>
      </c>
      <c r="F3087" s="40" t="s">
        <v>1185</v>
      </c>
      <c r="G3087" s="40" t="s">
        <v>1003</v>
      </c>
      <c r="H3087" s="7" t="s">
        <v>1706</v>
      </c>
      <c r="I3087" s="252">
        <v>850</v>
      </c>
      <c r="J3087" s="252">
        <v>20297.04117647059</v>
      </c>
      <c r="K3087" s="38">
        <f t="shared" si="175"/>
        <v>17252485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customHeight="1">
      <c r="A3088" s="204" t="str">
        <f>IF(B3088&lt;&gt;"",IF(AND(B3088&gt;=_TM1,B3088&lt;=_TM2,OR(TH!L3088="1111",TH!M3088="1111")),TH!D3088,""),"")</f>
        <v/>
      </c>
      <c r="B3088" s="36">
        <f t="shared" si="173"/>
        <v>5</v>
      </c>
      <c r="C3088" s="37">
        <f t="shared" si="174"/>
        <v>41053</v>
      </c>
      <c r="D3088" s="37" t="s">
        <v>1738</v>
      </c>
      <c r="E3088" s="191">
        <v>41053</v>
      </c>
      <c r="F3088" s="40" t="s">
        <v>1184</v>
      </c>
      <c r="G3088" s="40" t="s">
        <v>1003</v>
      </c>
      <c r="H3088" s="7" t="s">
        <v>1706</v>
      </c>
      <c r="I3088" s="252">
        <v>450</v>
      </c>
      <c r="J3088" s="252">
        <v>13251.484444444444</v>
      </c>
      <c r="K3088" s="38">
        <f t="shared" si="175"/>
        <v>5963168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customHeight="1">
      <c r="A3089" s="204" t="str">
        <f>IF(B3089&lt;&gt;"",IF(AND(B3089&gt;=_TM1,B3089&lt;=_TM2,OR(TH!L3089="1111",TH!M3089="1111")),TH!D3089,""),"")</f>
        <v/>
      </c>
      <c r="B3089" s="36">
        <f t="shared" si="173"/>
        <v>5</v>
      </c>
      <c r="C3089" s="37">
        <f t="shared" si="174"/>
        <v>41053</v>
      </c>
      <c r="D3089" s="37" t="s">
        <v>1738</v>
      </c>
      <c r="E3089" s="191">
        <v>41053</v>
      </c>
      <c r="F3089" s="40" t="s">
        <v>1183</v>
      </c>
      <c r="G3089" s="40" t="s">
        <v>1003</v>
      </c>
      <c r="H3089" s="7" t="s">
        <v>1706</v>
      </c>
      <c r="I3089" s="252">
        <v>450</v>
      </c>
      <c r="J3089" s="252">
        <v>21415.52</v>
      </c>
      <c r="K3089" s="38">
        <f t="shared" si="175"/>
        <v>9636984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customHeight="1">
      <c r="A3090" s="204" t="str">
        <f>IF(B3090&lt;&gt;"",IF(AND(B3090&gt;=_TM1,B3090&lt;=_TM2,OR(TH!L3090="1111",TH!M3090="1111")),TH!D3090,""),"")</f>
        <v/>
      </c>
      <c r="B3090" s="36">
        <f t="shared" si="173"/>
        <v>5</v>
      </c>
      <c r="C3090" s="37">
        <f t="shared" si="174"/>
        <v>41059</v>
      </c>
      <c r="D3090" s="37" t="s">
        <v>1738</v>
      </c>
      <c r="E3090" s="191">
        <v>41059</v>
      </c>
      <c r="F3090" s="40" t="s">
        <v>1170</v>
      </c>
      <c r="G3090" s="40" t="s">
        <v>1009</v>
      </c>
      <c r="H3090" s="7" t="s">
        <v>1706</v>
      </c>
      <c r="I3090" s="252">
        <v>1000</v>
      </c>
      <c r="J3090" s="252">
        <v>6979.5410000000002</v>
      </c>
      <c r="K3090" s="38">
        <f t="shared" si="175"/>
        <v>6979541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customHeight="1">
      <c r="A3091" s="204" t="str">
        <f>IF(B3091&lt;&gt;"",IF(AND(B3091&gt;=_TM1,B3091&lt;=_TM2,OR(TH!L3091="1111",TH!M3091="1111")),TH!D3091,""),"")</f>
        <v/>
      </c>
      <c r="B3091" s="36">
        <f t="shared" si="173"/>
        <v>5</v>
      </c>
      <c r="C3091" s="37">
        <f t="shared" si="174"/>
        <v>41059</v>
      </c>
      <c r="D3091" s="37" t="s">
        <v>1738</v>
      </c>
      <c r="E3091" s="191">
        <v>41059</v>
      </c>
      <c r="F3091" s="40" t="s">
        <v>1181</v>
      </c>
      <c r="G3091" s="40" t="s">
        <v>1009</v>
      </c>
      <c r="H3091" s="7" t="s">
        <v>1706</v>
      </c>
      <c r="I3091" s="252">
        <v>990</v>
      </c>
      <c r="J3091" s="252">
        <v>6601.4949494949497</v>
      </c>
      <c r="K3091" s="38">
        <f t="shared" si="175"/>
        <v>6535480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customHeight="1">
      <c r="A3092" s="204" t="str">
        <f>IF(B3092&lt;&gt;"",IF(AND(B3092&gt;=_TM1,B3092&lt;=_TM2,OR(TH!L3092="1111",TH!M3092="1111")),TH!D3092,""),"")</f>
        <v/>
      </c>
      <c r="B3092" s="36">
        <f t="shared" si="173"/>
        <v>5</v>
      </c>
      <c r="C3092" s="37">
        <f t="shared" si="174"/>
        <v>41059</v>
      </c>
      <c r="D3092" s="37" t="s">
        <v>1738</v>
      </c>
      <c r="E3092" s="191">
        <v>41059</v>
      </c>
      <c r="F3092" s="40" t="s">
        <v>1499</v>
      </c>
      <c r="G3092" s="40" t="s">
        <v>1010</v>
      </c>
      <c r="H3092" s="7" t="s">
        <v>1706</v>
      </c>
      <c r="I3092" s="252">
        <v>1</v>
      </c>
      <c r="J3092" s="252">
        <v>5769</v>
      </c>
      <c r="K3092" s="38">
        <f t="shared" si="175"/>
        <v>5769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customHeight="1">
      <c r="A3093" s="204" t="str">
        <f>IF(B3093&lt;&gt;"",IF(AND(B3093&gt;=_TM1,B3093&lt;=_TM2,OR(TH!L3093="1111",TH!M3093="1111")),TH!D3093,""),"")</f>
        <v/>
      </c>
      <c r="B3093" s="36">
        <f t="shared" si="173"/>
        <v>5</v>
      </c>
      <c r="C3093" s="37">
        <f t="shared" si="174"/>
        <v>41059</v>
      </c>
      <c r="D3093" s="37" t="s">
        <v>1738</v>
      </c>
      <c r="E3093" s="191">
        <v>41059</v>
      </c>
      <c r="F3093" s="40" t="s">
        <v>1533</v>
      </c>
      <c r="G3093" s="40" t="s">
        <v>1010</v>
      </c>
      <c r="H3093" s="7" t="s">
        <v>1706</v>
      </c>
      <c r="I3093" s="252">
        <v>1</v>
      </c>
      <c r="J3093" s="252">
        <v>5769</v>
      </c>
      <c r="K3093" s="38">
        <f t="shared" si="175"/>
        <v>5769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customHeight="1">
      <c r="A3094" s="204" t="str">
        <f>IF(B3094&lt;&gt;"",IF(AND(B3094&gt;=_TM1,B3094&lt;=_TM2,OR(TH!L3094="1111",TH!M3094="1111")),TH!D3094,""),"")</f>
        <v/>
      </c>
      <c r="B3094" s="36">
        <f t="shared" si="173"/>
        <v>5</v>
      </c>
      <c r="C3094" s="37">
        <f t="shared" si="174"/>
        <v>41059</v>
      </c>
      <c r="D3094" s="37" t="s">
        <v>1738</v>
      </c>
      <c r="E3094" s="191">
        <v>41059</v>
      </c>
      <c r="F3094" s="40" t="s">
        <v>1497</v>
      </c>
      <c r="G3094" s="40" t="s">
        <v>1010</v>
      </c>
      <c r="H3094" s="7" t="s">
        <v>1706</v>
      </c>
      <c r="I3094" s="252">
        <v>1</v>
      </c>
      <c r="J3094" s="252">
        <v>10283</v>
      </c>
      <c r="K3094" s="38">
        <f t="shared" si="175"/>
        <v>10283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customHeight="1">
      <c r="A3095" s="204" t="str">
        <f>IF(B3095&lt;&gt;"",IF(AND(B3095&gt;=_TM1,B3095&lt;=_TM2,OR(TH!L3095="1111",TH!M3095="1111")),TH!D3095,""),"")</f>
        <v/>
      </c>
      <c r="B3095" s="36">
        <f t="shared" si="173"/>
        <v>5</v>
      </c>
      <c r="C3095" s="37">
        <f t="shared" si="174"/>
        <v>41059</v>
      </c>
      <c r="D3095" s="37" t="s">
        <v>1738</v>
      </c>
      <c r="E3095" s="191">
        <v>41059</v>
      </c>
      <c r="F3095" s="40" t="s">
        <v>1501</v>
      </c>
      <c r="G3095" s="40" t="s">
        <v>1010</v>
      </c>
      <c r="H3095" s="7" t="s">
        <v>1706</v>
      </c>
      <c r="I3095" s="252">
        <v>1</v>
      </c>
      <c r="J3095" s="252">
        <v>10283</v>
      </c>
      <c r="K3095" s="38">
        <f t="shared" si="175"/>
        <v>10283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customHeight="1">
      <c r="A3096" s="204" t="str">
        <f>IF(B3096&lt;&gt;"",IF(AND(B3096&gt;=_TM1,B3096&lt;=_TM2,OR(TH!L3096="1111",TH!M3096="1111")),TH!D3096,""),"")</f>
        <v/>
      </c>
      <c r="B3096" s="36">
        <f t="shared" si="173"/>
        <v>5</v>
      </c>
      <c r="C3096" s="37">
        <f t="shared" si="174"/>
        <v>41059</v>
      </c>
      <c r="D3096" s="37" t="s">
        <v>1738</v>
      </c>
      <c r="E3096" s="191">
        <v>41059</v>
      </c>
      <c r="F3096" s="40" t="s">
        <v>1534</v>
      </c>
      <c r="G3096" s="40" t="s">
        <v>1010</v>
      </c>
      <c r="H3096" s="7" t="s">
        <v>1706</v>
      </c>
      <c r="I3096" s="252">
        <v>1</v>
      </c>
      <c r="J3096" s="252">
        <v>10283</v>
      </c>
      <c r="K3096" s="38">
        <f t="shared" si="175"/>
        <v>10283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customHeight="1">
      <c r="A3097" s="204" t="str">
        <f>IF(B3097&lt;&gt;"",IF(AND(B3097&gt;=_TM1,B3097&lt;=_TM2,OR(TH!L3097="1111",TH!M3097="1111")),TH!D3097,""),"")</f>
        <v/>
      </c>
      <c r="B3097" s="36">
        <f t="shared" si="173"/>
        <v>5</v>
      </c>
      <c r="C3097" s="37">
        <f t="shared" si="174"/>
        <v>41059</v>
      </c>
      <c r="D3097" s="37" t="s">
        <v>1738</v>
      </c>
      <c r="E3097" s="191">
        <v>41059</v>
      </c>
      <c r="F3097" s="40" t="s">
        <v>1536</v>
      </c>
      <c r="G3097" s="40" t="s">
        <v>1010</v>
      </c>
      <c r="H3097" s="7" t="s">
        <v>1706</v>
      </c>
      <c r="I3097" s="252">
        <v>1</v>
      </c>
      <c r="J3097" s="252">
        <v>10283</v>
      </c>
      <c r="K3097" s="38">
        <f t="shared" si="175"/>
        <v>10283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customHeight="1">
      <c r="A3098" s="204" t="str">
        <f>IF(B3098&lt;&gt;"",IF(AND(B3098&gt;=_TM1,B3098&lt;=_TM2,OR(TH!L3098="1111",TH!M3098="1111")),TH!D3098,""),"")</f>
        <v/>
      </c>
      <c r="B3098" s="36">
        <f t="shared" si="173"/>
        <v>5</v>
      </c>
      <c r="C3098" s="37">
        <f t="shared" si="174"/>
        <v>41059</v>
      </c>
      <c r="D3098" s="37" t="s">
        <v>1738</v>
      </c>
      <c r="E3098" s="191">
        <v>41059</v>
      </c>
      <c r="F3098" s="40" t="s">
        <v>1539</v>
      </c>
      <c r="G3098" s="40" t="s">
        <v>1010</v>
      </c>
      <c r="H3098" s="7" t="s">
        <v>1706</v>
      </c>
      <c r="I3098" s="252">
        <v>1</v>
      </c>
      <c r="J3098" s="252">
        <v>10283</v>
      </c>
      <c r="K3098" s="38">
        <f t="shared" si="175"/>
        <v>10283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customHeight="1">
      <c r="A3099" s="204" t="str">
        <f>IF(B3099&lt;&gt;"",IF(AND(B3099&gt;=_TM1,B3099&lt;=_TM2,OR(TH!L3099="1111",TH!M3099="1111")),TH!D3099,""),"")</f>
        <v/>
      </c>
      <c r="B3099" s="36">
        <f t="shared" si="173"/>
        <v>5</v>
      </c>
      <c r="C3099" s="37">
        <f t="shared" si="174"/>
        <v>41059</v>
      </c>
      <c r="D3099" s="37" t="s">
        <v>1738</v>
      </c>
      <c r="E3099" s="191">
        <v>41059</v>
      </c>
      <c r="F3099" s="40" t="s">
        <v>1527</v>
      </c>
      <c r="G3099" s="40" t="s">
        <v>1010</v>
      </c>
      <c r="H3099" s="7" t="s">
        <v>1706</v>
      </c>
      <c r="I3099" s="252">
        <v>1</v>
      </c>
      <c r="J3099" s="252">
        <v>10283</v>
      </c>
      <c r="K3099" s="38">
        <f t="shared" si="175"/>
        <v>10283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customHeight="1">
      <c r="A3100" s="204" t="str">
        <f>IF(B3100&lt;&gt;"",IF(AND(B3100&gt;=_TM1,B3100&lt;=_TM2,OR(TH!L3100="1111",TH!M3100="1111")),TH!D3100,""),"")</f>
        <v/>
      </c>
      <c r="B3100" s="36">
        <f t="shared" si="173"/>
        <v>5</v>
      </c>
      <c r="C3100" s="37">
        <f t="shared" si="174"/>
        <v>41059</v>
      </c>
      <c r="D3100" s="37" t="s">
        <v>1738</v>
      </c>
      <c r="E3100" s="191">
        <v>41059</v>
      </c>
      <c r="F3100" s="40" t="s">
        <v>1527</v>
      </c>
      <c r="G3100" s="40" t="s">
        <v>1010</v>
      </c>
      <c r="H3100" s="7" t="s">
        <v>1706</v>
      </c>
      <c r="I3100" s="252">
        <v>3</v>
      </c>
      <c r="J3100" s="252">
        <v>10186</v>
      </c>
      <c r="K3100" s="38">
        <f t="shared" si="175"/>
        <v>30558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customHeight="1">
      <c r="A3101" s="204" t="str">
        <f>IF(B3101&lt;&gt;"",IF(AND(B3101&gt;=_TM1,B3101&lt;=_TM2,OR(TH!L3101="1111",TH!M3101="1111")),TH!D3101,""),"")</f>
        <v/>
      </c>
      <c r="B3101" s="36">
        <f t="shared" si="173"/>
        <v>5</v>
      </c>
      <c r="C3101" s="37">
        <f t="shared" si="174"/>
        <v>41059</v>
      </c>
      <c r="D3101" s="37" t="s">
        <v>1738</v>
      </c>
      <c r="E3101" s="191">
        <v>41059</v>
      </c>
      <c r="F3101" s="40" t="s">
        <v>1503</v>
      </c>
      <c r="G3101" s="40" t="s">
        <v>1010</v>
      </c>
      <c r="H3101" s="7" t="s">
        <v>1706</v>
      </c>
      <c r="I3101" s="252">
        <v>1</v>
      </c>
      <c r="J3101" s="252">
        <v>10283</v>
      </c>
      <c r="K3101" s="38">
        <f t="shared" si="175"/>
        <v>10283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customHeight="1">
      <c r="A3102" s="204" t="str">
        <f>IF(B3102&lt;&gt;"",IF(AND(B3102&gt;=_TM1,B3102&lt;=_TM2,OR(TH!L3102="1111",TH!M3102="1111")),TH!D3102,""),"")</f>
        <v/>
      </c>
      <c r="B3102" s="36">
        <f t="shared" si="173"/>
        <v>5</v>
      </c>
      <c r="C3102" s="37">
        <f t="shared" si="174"/>
        <v>41059</v>
      </c>
      <c r="D3102" s="37" t="s">
        <v>1738</v>
      </c>
      <c r="E3102" s="191">
        <v>41059</v>
      </c>
      <c r="F3102" s="40" t="s">
        <v>1512</v>
      </c>
      <c r="G3102" s="40" t="s">
        <v>1010</v>
      </c>
      <c r="H3102" s="7" t="s">
        <v>1706</v>
      </c>
      <c r="I3102" s="252">
        <v>26</v>
      </c>
      <c r="J3102" s="252">
        <v>9119</v>
      </c>
      <c r="K3102" s="38">
        <f t="shared" si="175"/>
        <v>237094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customHeight="1">
      <c r="A3103" s="204" t="str">
        <f>IF(B3103&lt;&gt;"",IF(AND(B3103&gt;=_TM1,B3103&lt;=_TM2,OR(TH!L3103="1111",TH!M3103="1111")),TH!D3103,""),"")</f>
        <v/>
      </c>
      <c r="B3103" s="36">
        <f t="shared" si="173"/>
        <v>5</v>
      </c>
      <c r="C3103" s="37">
        <f t="shared" si="174"/>
        <v>41059</v>
      </c>
      <c r="D3103" s="37" t="s">
        <v>1738</v>
      </c>
      <c r="E3103" s="191">
        <v>41059</v>
      </c>
      <c r="F3103" s="40" t="s">
        <v>1515</v>
      </c>
      <c r="G3103" s="40" t="s">
        <v>1010</v>
      </c>
      <c r="H3103" s="7" t="s">
        <v>1706</v>
      </c>
      <c r="I3103" s="252">
        <v>2</v>
      </c>
      <c r="J3103" s="252">
        <v>12031</v>
      </c>
      <c r="K3103" s="38">
        <f t="shared" si="175"/>
        <v>24062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customHeight="1">
      <c r="A3104" s="204" t="str">
        <f>IF(B3104&lt;&gt;"",IF(AND(B3104&gt;=_TM1,B3104&lt;=_TM2,OR(TH!L3104="1111",TH!M3104="1111")),TH!D3104,""),"")</f>
        <v/>
      </c>
      <c r="B3104" s="36">
        <f t="shared" si="173"/>
        <v>5</v>
      </c>
      <c r="C3104" s="37">
        <f t="shared" si="174"/>
        <v>41059</v>
      </c>
      <c r="D3104" s="37" t="s">
        <v>1738</v>
      </c>
      <c r="E3104" s="191">
        <v>41059</v>
      </c>
      <c r="F3104" s="40" t="s">
        <v>1540</v>
      </c>
      <c r="G3104" s="40" t="s">
        <v>1010</v>
      </c>
      <c r="H3104" s="7" t="s">
        <v>1706</v>
      </c>
      <c r="I3104" s="252">
        <v>1</v>
      </c>
      <c r="J3104" s="252">
        <v>10676</v>
      </c>
      <c r="K3104" s="38">
        <f t="shared" si="175"/>
        <v>10676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customHeight="1">
      <c r="A3105" s="204" t="str">
        <f>IF(B3105&lt;&gt;"",IF(AND(B3105&gt;=_TM1,B3105&lt;=_TM2,OR(TH!L3105="1111",TH!M3105="1111")),TH!D3105,""),"")</f>
        <v/>
      </c>
      <c r="B3105" s="36">
        <f t="shared" si="173"/>
        <v>5</v>
      </c>
      <c r="C3105" s="37">
        <f t="shared" si="174"/>
        <v>41059</v>
      </c>
      <c r="D3105" s="37" t="s">
        <v>1738</v>
      </c>
      <c r="E3105" s="191">
        <v>41059</v>
      </c>
      <c r="F3105" s="40" t="s">
        <v>1502</v>
      </c>
      <c r="G3105" s="40" t="s">
        <v>1010</v>
      </c>
      <c r="H3105" s="7" t="s">
        <v>1706</v>
      </c>
      <c r="I3105" s="252">
        <v>1</v>
      </c>
      <c r="J3105" s="252">
        <v>10283</v>
      </c>
      <c r="K3105" s="38">
        <f t="shared" si="175"/>
        <v>10283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customHeight="1">
      <c r="A3106" s="204" t="str">
        <f>IF(B3106&lt;&gt;"",IF(AND(B3106&gt;=_TM1,B3106&lt;=_TM2,OR(TH!L3106="1111",TH!M3106="1111")),TH!D3106,""),"")</f>
        <v/>
      </c>
      <c r="B3106" s="36">
        <f t="shared" si="173"/>
        <v>5</v>
      </c>
      <c r="C3106" s="37">
        <f t="shared" si="174"/>
        <v>41059</v>
      </c>
      <c r="D3106" s="37" t="s">
        <v>1738</v>
      </c>
      <c r="E3106" s="191">
        <v>41059</v>
      </c>
      <c r="F3106" s="40" t="s">
        <v>1537</v>
      </c>
      <c r="G3106" s="40" t="s">
        <v>1010</v>
      </c>
      <c r="H3106" s="7" t="s">
        <v>1706</v>
      </c>
      <c r="I3106" s="252">
        <v>1</v>
      </c>
      <c r="J3106" s="252">
        <v>10283</v>
      </c>
      <c r="K3106" s="38">
        <f t="shared" si="175"/>
        <v>10283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customHeight="1">
      <c r="A3107" s="204" t="str">
        <f>IF(B3107&lt;&gt;"",IF(AND(B3107&gt;=_TM1,B3107&lt;=_TM2,OR(TH!L3107="1111",TH!M3107="1111")),TH!D3107,""),"")</f>
        <v/>
      </c>
      <c r="B3107" s="36">
        <f t="shared" si="173"/>
        <v>5</v>
      </c>
      <c r="C3107" s="37">
        <f t="shared" si="174"/>
        <v>41059</v>
      </c>
      <c r="D3107" s="37" t="s">
        <v>1738</v>
      </c>
      <c r="E3107" s="191">
        <v>41059</v>
      </c>
      <c r="F3107" s="40" t="s">
        <v>1514</v>
      </c>
      <c r="G3107" s="40" t="s">
        <v>1010</v>
      </c>
      <c r="H3107" s="7" t="s">
        <v>1706</v>
      </c>
      <c r="I3107" s="252">
        <v>4</v>
      </c>
      <c r="J3107" s="252">
        <v>13251.5</v>
      </c>
      <c r="K3107" s="38">
        <f t="shared" si="175"/>
        <v>53006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customHeight="1">
      <c r="A3108" s="204" t="str">
        <f>IF(B3108&lt;&gt;"",IF(AND(B3108&gt;=_TM1,B3108&lt;=_TM2,OR(TH!L3108="1111",TH!M3108="1111")),TH!D3108,""),"")</f>
        <v/>
      </c>
      <c r="B3108" s="36">
        <f t="shared" si="173"/>
        <v>5</v>
      </c>
      <c r="C3108" s="37">
        <f t="shared" si="174"/>
        <v>41059</v>
      </c>
      <c r="D3108" s="37" t="s">
        <v>1738</v>
      </c>
      <c r="E3108" s="191">
        <v>41059</v>
      </c>
      <c r="F3108" s="40" t="s">
        <v>1541</v>
      </c>
      <c r="G3108" s="40" t="s">
        <v>1010</v>
      </c>
      <c r="H3108" s="7" t="s">
        <v>1706</v>
      </c>
      <c r="I3108" s="252">
        <v>4</v>
      </c>
      <c r="J3108" s="252">
        <v>10676</v>
      </c>
      <c r="K3108" s="38">
        <f t="shared" si="175"/>
        <v>42704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customHeight="1">
      <c r="A3109" s="204" t="str">
        <f>IF(B3109&lt;&gt;"",IF(AND(B3109&gt;=_TM1,B3109&lt;=_TM2,OR(TH!L3109="1111",TH!M3109="1111")),TH!D3109,""),"")</f>
        <v/>
      </c>
      <c r="B3109" s="36">
        <f t="shared" si="173"/>
        <v>5</v>
      </c>
      <c r="C3109" s="37">
        <f t="shared" si="174"/>
        <v>41059</v>
      </c>
      <c r="D3109" s="37" t="s">
        <v>1738</v>
      </c>
      <c r="E3109" s="191">
        <v>41059</v>
      </c>
      <c r="F3109" s="40" t="s">
        <v>1504</v>
      </c>
      <c r="G3109" s="40" t="s">
        <v>1010</v>
      </c>
      <c r="H3109" s="7" t="s">
        <v>1706</v>
      </c>
      <c r="I3109" s="252">
        <v>24</v>
      </c>
      <c r="J3109" s="252">
        <v>9695.0416666666661</v>
      </c>
      <c r="K3109" s="38">
        <f t="shared" si="175"/>
        <v>232681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customHeight="1">
      <c r="A3110" s="204" t="str">
        <f>IF(B3110&lt;&gt;"",IF(AND(B3110&gt;=_TM1,B3110&lt;=_TM2,OR(TH!L3110="1111",TH!M3110="1111")),TH!D3110,""),"")</f>
        <v/>
      </c>
      <c r="B3110" s="36">
        <f t="shared" si="173"/>
        <v>5</v>
      </c>
      <c r="C3110" s="37">
        <f t="shared" si="174"/>
        <v>41059</v>
      </c>
      <c r="D3110" s="37" t="s">
        <v>1738</v>
      </c>
      <c r="E3110" s="191">
        <v>41059</v>
      </c>
      <c r="F3110" s="40" t="s">
        <v>1505</v>
      </c>
      <c r="G3110" s="40" t="s">
        <v>1010</v>
      </c>
      <c r="H3110" s="7" t="s">
        <v>1706</v>
      </c>
      <c r="I3110" s="252">
        <v>81</v>
      </c>
      <c r="J3110" s="252">
        <v>10656.679012345679</v>
      </c>
      <c r="K3110" s="38">
        <f t="shared" si="175"/>
        <v>863191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customHeight="1">
      <c r="A3111" s="204" t="str">
        <f>IF(B3111&lt;&gt;"",IF(AND(B3111&gt;=_TM1,B3111&lt;=_TM2,OR(TH!L3111="1111",TH!M3111="1111")),TH!D3111,""),"")</f>
        <v/>
      </c>
      <c r="B3111" s="36">
        <f t="shared" si="173"/>
        <v>5</v>
      </c>
      <c r="C3111" s="37">
        <f t="shared" si="174"/>
        <v>41059</v>
      </c>
      <c r="D3111" s="37" t="s">
        <v>1738</v>
      </c>
      <c r="E3111" s="191">
        <v>41059</v>
      </c>
      <c r="F3111" s="40" t="s">
        <v>1500</v>
      </c>
      <c r="G3111" s="40" t="s">
        <v>1010</v>
      </c>
      <c r="H3111" s="7" t="s">
        <v>1706</v>
      </c>
      <c r="I3111" s="252">
        <v>1</v>
      </c>
      <c r="J3111" s="252">
        <v>10283</v>
      </c>
      <c r="K3111" s="38">
        <f t="shared" si="175"/>
        <v>10283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customHeight="1">
      <c r="A3112" s="204" t="str">
        <f>IF(B3112&lt;&gt;"",IF(AND(B3112&gt;=_TM1,B3112&lt;=_TM2,OR(TH!L3112="1111",TH!M3112="1111")),TH!D3112,""),"")</f>
        <v/>
      </c>
      <c r="B3112" s="36">
        <f t="shared" si="173"/>
        <v>5</v>
      </c>
      <c r="C3112" s="37">
        <f t="shared" si="174"/>
        <v>41059</v>
      </c>
      <c r="D3112" s="37" t="s">
        <v>1738</v>
      </c>
      <c r="E3112" s="191">
        <v>41059</v>
      </c>
      <c r="F3112" s="40" t="s">
        <v>1508</v>
      </c>
      <c r="G3112" s="40" t="s">
        <v>1010</v>
      </c>
      <c r="H3112" s="7" t="s">
        <v>1706</v>
      </c>
      <c r="I3112" s="252">
        <v>5</v>
      </c>
      <c r="J3112" s="252">
        <v>10676</v>
      </c>
      <c r="K3112" s="38">
        <f t="shared" si="175"/>
        <v>53380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customHeight="1">
      <c r="A3113" s="204" t="str">
        <f>IF(B3113&lt;&gt;"",IF(AND(B3113&gt;=_TM1,B3113&lt;=_TM2,OR(TH!L3113="1111",TH!M3113="1111")),TH!D3113,""),"")</f>
        <v/>
      </c>
      <c r="B3113" s="36">
        <f t="shared" si="173"/>
        <v>5</v>
      </c>
      <c r="C3113" s="37">
        <f t="shared" si="174"/>
        <v>41059</v>
      </c>
      <c r="D3113" s="37" t="s">
        <v>1738</v>
      </c>
      <c r="E3113" s="191">
        <v>41059</v>
      </c>
      <c r="F3113" s="40" t="s">
        <v>1506</v>
      </c>
      <c r="G3113" s="40" t="s">
        <v>1010</v>
      </c>
      <c r="H3113" s="7" t="s">
        <v>1706</v>
      </c>
      <c r="I3113" s="252">
        <v>57</v>
      </c>
      <c r="J3113" s="252">
        <v>13340.245614035088</v>
      </c>
      <c r="K3113" s="38">
        <f t="shared" si="175"/>
        <v>760394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customHeight="1">
      <c r="A3114" s="204" t="str">
        <f>IF(B3114&lt;&gt;"",IF(AND(B3114&gt;=_TM1,B3114&lt;=_TM2,OR(TH!L3114="1111",TH!M3114="1111")),TH!D3114,""),"")</f>
        <v/>
      </c>
      <c r="B3114" s="36">
        <f t="shared" si="173"/>
        <v>5</v>
      </c>
      <c r="C3114" s="37">
        <f t="shared" si="174"/>
        <v>41059</v>
      </c>
      <c r="D3114" s="37" t="s">
        <v>1738</v>
      </c>
      <c r="E3114" s="191">
        <v>41059</v>
      </c>
      <c r="F3114" s="40" t="s">
        <v>1535</v>
      </c>
      <c r="G3114" s="40" t="s">
        <v>1010</v>
      </c>
      <c r="H3114" s="7" t="s">
        <v>1706</v>
      </c>
      <c r="I3114" s="252">
        <v>1</v>
      </c>
      <c r="J3114" s="252">
        <v>15631</v>
      </c>
      <c r="K3114" s="38">
        <f t="shared" si="175"/>
        <v>15631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ht="15.75" customHeight="1">
      <c r="A3115" s="204" t="str">
        <f>IF(B3115&lt;&gt;"",IF(AND(B3115&gt;=_TM1,B3115&lt;=_TM2,OR(TH!L3115="1111",TH!M3115="1111")),TH!D3115,""),"")</f>
        <v/>
      </c>
      <c r="B3115" s="36">
        <f t="shared" si="173"/>
        <v>5</v>
      </c>
      <c r="C3115" s="37">
        <f t="shared" si="174"/>
        <v>41059</v>
      </c>
      <c r="D3115" s="37" t="s">
        <v>1738</v>
      </c>
      <c r="E3115" s="191">
        <v>41059</v>
      </c>
      <c r="F3115" s="40" t="s">
        <v>1496</v>
      </c>
      <c r="G3115" s="40" t="s">
        <v>1010</v>
      </c>
      <c r="H3115" s="7" t="s">
        <v>1706</v>
      </c>
      <c r="I3115" s="252">
        <v>152</v>
      </c>
      <c r="J3115" s="252">
        <v>12479.394736842105</v>
      </c>
      <c r="K3115" s="38">
        <f t="shared" si="175"/>
        <v>1896868</v>
      </c>
      <c r="L3115" s="39" t="s">
        <v>183</v>
      </c>
      <c r="M3115" s="39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</row>
    <row r="3116" spans="1:26" ht="15.75" customHeight="1">
      <c r="A3116" s="204" t="str">
        <f>IF(B3116&lt;&gt;"",IF(AND(B3116&gt;=_TM1,B3116&lt;=_TM2,OR(TH!L3116="1111",TH!M3116="1111")),TH!D3116,""),"")</f>
        <v/>
      </c>
      <c r="B3116" s="36">
        <f t="shared" si="173"/>
        <v>5</v>
      </c>
      <c r="C3116" s="37">
        <f t="shared" si="174"/>
        <v>41059</v>
      </c>
      <c r="D3116" s="37" t="s">
        <v>1738</v>
      </c>
      <c r="E3116" s="191">
        <v>41059</v>
      </c>
      <c r="F3116" s="40" t="s">
        <v>1510</v>
      </c>
      <c r="G3116" s="40" t="s">
        <v>1010</v>
      </c>
      <c r="H3116" s="7" t="s">
        <v>1706</v>
      </c>
      <c r="I3116" s="252">
        <v>33</v>
      </c>
      <c r="J3116" s="252">
        <v>14973.666666666666</v>
      </c>
      <c r="K3116" s="38">
        <f t="shared" si="175"/>
        <v>494131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</row>
    <row r="3117" spans="1:26" ht="15.75" customHeight="1">
      <c r="A3117" s="204" t="str">
        <f>IF(B3117&lt;&gt;"",IF(AND(B3117&gt;=_TM1,B3117&lt;=_TM2,OR(TH!L3117="1111",TH!M3117="1111")),TH!D3117,""),"")</f>
        <v/>
      </c>
      <c r="B3117" s="36">
        <f t="shared" si="173"/>
        <v>5</v>
      </c>
      <c r="C3117" s="37">
        <f t="shared" si="174"/>
        <v>41059</v>
      </c>
      <c r="D3117" s="37" t="s">
        <v>1738</v>
      </c>
      <c r="E3117" s="191">
        <v>41059</v>
      </c>
      <c r="F3117" s="40" t="s">
        <v>1526</v>
      </c>
      <c r="G3117" s="40" t="s">
        <v>1010</v>
      </c>
      <c r="H3117" s="7" t="s">
        <v>1706</v>
      </c>
      <c r="I3117" s="252">
        <v>22</v>
      </c>
      <c r="J3117" s="252">
        <v>16382.863636363636</v>
      </c>
      <c r="K3117" s="38">
        <f t="shared" si="175"/>
        <v>360423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</row>
    <row r="3118" spans="1:26" ht="15.75" customHeight="1">
      <c r="A3118" s="204" t="str">
        <f>IF(B3118&lt;&gt;"",IF(AND(B3118&gt;=_TM1,B3118&lt;=_TM2,OR(TH!L3118="1111",TH!M3118="1111")),TH!D3118,""),"")</f>
        <v/>
      </c>
      <c r="B3118" s="36">
        <f t="shared" si="173"/>
        <v>5</v>
      </c>
      <c r="C3118" s="37">
        <f t="shared" si="174"/>
        <v>41059</v>
      </c>
      <c r="D3118" s="37" t="s">
        <v>1738</v>
      </c>
      <c r="E3118" s="191">
        <v>41059</v>
      </c>
      <c r="F3118" s="40" t="s">
        <v>1538</v>
      </c>
      <c r="G3118" s="40" t="s">
        <v>1010</v>
      </c>
      <c r="H3118" s="7" t="s">
        <v>1706</v>
      </c>
      <c r="I3118" s="252">
        <v>86</v>
      </c>
      <c r="J3118" s="252">
        <v>18783.023255813954</v>
      </c>
      <c r="K3118" s="38">
        <f t="shared" si="175"/>
        <v>1615340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</row>
    <row r="3119" spans="1:26" ht="15.75" customHeight="1">
      <c r="A3119" s="204" t="str">
        <f>IF(B3119&lt;&gt;"",IF(AND(B3119&gt;=_TM1,B3119&lt;=_TM2,OR(TH!L3119="1111",TH!M3119="1111")),TH!D3119,""),"")</f>
        <v/>
      </c>
      <c r="B3119" s="36">
        <f t="shared" si="173"/>
        <v>5</v>
      </c>
      <c r="C3119" s="37">
        <f t="shared" si="174"/>
        <v>41059</v>
      </c>
      <c r="D3119" s="37" t="s">
        <v>1738</v>
      </c>
      <c r="E3119" s="191">
        <v>41059</v>
      </c>
      <c r="F3119" s="40" t="s">
        <v>1513</v>
      </c>
      <c r="G3119" s="40" t="s">
        <v>1010</v>
      </c>
      <c r="H3119" s="7" t="s">
        <v>1706</v>
      </c>
      <c r="I3119" s="252">
        <v>91</v>
      </c>
      <c r="J3119" s="252">
        <v>15174.065934065935</v>
      </c>
      <c r="K3119" s="38">
        <f t="shared" si="175"/>
        <v>1380840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</row>
    <row r="3120" spans="1:26" ht="15.75" customHeight="1">
      <c r="A3120" s="204" t="str">
        <f>IF(B3120&lt;&gt;"",IF(AND(B3120&gt;=_TM1,B3120&lt;=_TM2,OR(TH!L3120="1111",TH!M3120="1111")),TH!D3120,""),"")</f>
        <v/>
      </c>
      <c r="B3120" s="36">
        <f t="shared" si="173"/>
        <v>5</v>
      </c>
      <c r="C3120" s="37">
        <f t="shared" si="174"/>
        <v>41059</v>
      </c>
      <c r="D3120" s="37" t="s">
        <v>1738</v>
      </c>
      <c r="E3120" s="191">
        <v>41059</v>
      </c>
      <c r="F3120" s="40" t="s">
        <v>1532</v>
      </c>
      <c r="G3120" s="40" t="s">
        <v>1010</v>
      </c>
      <c r="H3120" s="7" t="s">
        <v>1706</v>
      </c>
      <c r="I3120" s="252">
        <v>239</v>
      </c>
      <c r="J3120" s="252">
        <v>25470.476987447699</v>
      </c>
      <c r="K3120" s="38">
        <f t="shared" si="175"/>
        <v>6087444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</row>
    <row r="3121" spans="1:26" ht="15.75" customHeight="1">
      <c r="A3121" s="204" t="str">
        <f>IF(B3121&lt;&gt;"",IF(AND(B3121&gt;=_TM1,B3121&lt;=_TM2,OR(TH!L3121="1111",TH!M3121="1111")),TH!D3121,""),"")</f>
        <v/>
      </c>
      <c r="B3121" s="36">
        <f t="shared" si="173"/>
        <v>5</v>
      </c>
      <c r="C3121" s="37">
        <f t="shared" si="174"/>
        <v>41059</v>
      </c>
      <c r="D3121" s="37" t="s">
        <v>1738</v>
      </c>
      <c r="E3121" s="191">
        <v>41059</v>
      </c>
      <c r="F3121" s="40" t="s">
        <v>1516</v>
      </c>
      <c r="G3121" s="40" t="s">
        <v>1010</v>
      </c>
      <c r="H3121" s="7" t="s">
        <v>1706</v>
      </c>
      <c r="I3121" s="252">
        <v>36</v>
      </c>
      <c r="J3121" s="252">
        <v>18978.027777777777</v>
      </c>
      <c r="K3121" s="38">
        <f t="shared" si="175"/>
        <v>683209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</row>
    <row r="3122" spans="1:26" ht="15.75" customHeight="1">
      <c r="A3122" s="204" t="str">
        <f>IF(B3122&lt;&gt;"",IF(AND(B3122&gt;=_TM1,B3122&lt;=_TM2,OR(TH!L3122="1111",TH!M3122="1111")),TH!D3122,""),"")</f>
        <v/>
      </c>
      <c r="B3122" s="36">
        <f t="shared" si="173"/>
        <v>5</v>
      </c>
      <c r="C3122" s="37">
        <f t="shared" si="174"/>
        <v>41059</v>
      </c>
      <c r="D3122" s="37" t="s">
        <v>1738</v>
      </c>
      <c r="E3122" s="191">
        <v>41059</v>
      </c>
      <c r="F3122" s="40" t="s">
        <v>1523</v>
      </c>
      <c r="G3122" s="40" t="s">
        <v>1010</v>
      </c>
      <c r="H3122" s="7" t="s">
        <v>1706</v>
      </c>
      <c r="I3122" s="252">
        <v>2</v>
      </c>
      <c r="J3122" s="252">
        <v>16929.5</v>
      </c>
      <c r="K3122" s="38">
        <f t="shared" si="175"/>
        <v>33859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</row>
    <row r="3123" spans="1:26" ht="15.75" customHeight="1">
      <c r="A3123" s="204" t="str">
        <f>IF(B3123&lt;&gt;"",IF(AND(B3123&gt;=_TM1,B3123&lt;=_TM2,OR(TH!L3123="1111",TH!M3123="1111")),TH!D3123,""),"")</f>
        <v/>
      </c>
      <c r="B3123" s="36">
        <f t="shared" si="173"/>
        <v>5</v>
      </c>
      <c r="C3123" s="37">
        <f t="shared" si="174"/>
        <v>41059</v>
      </c>
      <c r="D3123" s="37" t="s">
        <v>1738</v>
      </c>
      <c r="E3123" s="191">
        <v>41059</v>
      </c>
      <c r="F3123" s="40" t="s">
        <v>1524</v>
      </c>
      <c r="G3123" s="40" t="s">
        <v>1010</v>
      </c>
      <c r="H3123" s="7" t="s">
        <v>1706</v>
      </c>
      <c r="I3123" s="252">
        <v>46</v>
      </c>
      <c r="J3123" s="252">
        <v>21193.978260869564</v>
      </c>
      <c r="K3123" s="38">
        <f t="shared" si="175"/>
        <v>974923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</row>
    <row r="3124" spans="1:26" ht="15.75" customHeight="1">
      <c r="A3124" s="204" t="str">
        <f>IF(B3124&lt;&gt;"",IF(AND(B3124&gt;=_TM1,B3124&lt;=_TM2,OR(TH!L3124="1111",TH!M3124="1111")),TH!D3124,""),"")</f>
        <v/>
      </c>
      <c r="B3124" s="36">
        <f t="shared" si="173"/>
        <v>5</v>
      </c>
      <c r="C3124" s="37">
        <f t="shared" ref="C3124:C3183" si="176">E3124</f>
        <v>41059</v>
      </c>
      <c r="D3124" s="37" t="s">
        <v>1738</v>
      </c>
      <c r="E3124" s="191">
        <v>41059</v>
      </c>
      <c r="F3124" s="40" t="s">
        <v>1180</v>
      </c>
      <c r="G3124" s="40" t="s">
        <v>1011</v>
      </c>
      <c r="H3124" s="7" t="s">
        <v>1706</v>
      </c>
      <c r="I3124" s="252">
        <v>219</v>
      </c>
      <c r="J3124" s="252">
        <v>10669.246575342466</v>
      </c>
      <c r="K3124" s="38">
        <f t="shared" ref="K3124:K3183" si="177">ROUND(I3124*J3124,0)</f>
        <v>2336565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</row>
    <row r="3125" spans="1:26" ht="15.75" customHeight="1">
      <c r="A3125" s="204" t="str">
        <f>IF(B3125&lt;&gt;"",IF(AND(B3125&gt;=_TM1,B3125&lt;=_TM2,OR(TH!L3125="1111",TH!M3125="1111")),TH!D3125,""),"")</f>
        <v/>
      </c>
      <c r="B3125" s="36">
        <f t="shared" si="173"/>
        <v>5</v>
      </c>
      <c r="C3125" s="37">
        <f t="shared" si="176"/>
        <v>41060</v>
      </c>
      <c r="D3125" s="37" t="s">
        <v>1738</v>
      </c>
      <c r="E3125" s="191">
        <v>41060</v>
      </c>
      <c r="F3125" s="40" t="s">
        <v>1121</v>
      </c>
      <c r="G3125" s="40" t="s">
        <v>1013</v>
      </c>
      <c r="H3125" s="7" t="s">
        <v>1706</v>
      </c>
      <c r="I3125" s="252">
        <v>488</v>
      </c>
      <c r="J3125" s="252">
        <v>7708.3565573770493</v>
      </c>
      <c r="K3125" s="38">
        <f t="shared" si="177"/>
        <v>3761678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</row>
    <row r="3126" spans="1:26" ht="15.75" customHeight="1">
      <c r="A3126" s="204" t="str">
        <f>IF(B3126&lt;&gt;"",IF(AND(B3126&gt;=_TM1,B3126&lt;=_TM2,OR(TH!L3126="1111",TH!M3126="1111")),TH!D3126,""),"")</f>
        <v/>
      </c>
      <c r="B3126" s="36">
        <f t="shared" si="173"/>
        <v>5</v>
      </c>
      <c r="C3126" s="37">
        <f t="shared" si="176"/>
        <v>41060</v>
      </c>
      <c r="D3126" s="37" t="s">
        <v>1738</v>
      </c>
      <c r="E3126" s="191">
        <v>41060</v>
      </c>
      <c r="F3126" s="40" t="s">
        <v>551</v>
      </c>
      <c r="G3126" s="40" t="s">
        <v>1014</v>
      </c>
      <c r="H3126" s="7" t="s">
        <v>1706</v>
      </c>
      <c r="I3126" s="252">
        <v>3000</v>
      </c>
      <c r="J3126" s="252">
        <v>4296.7076666666662</v>
      </c>
      <c r="K3126" s="38">
        <f t="shared" si="177"/>
        <v>12890123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</row>
    <row r="3127" spans="1:26" ht="15.75" customHeight="1">
      <c r="A3127" s="204" t="str">
        <f>IF(B3127&lt;&gt;"",IF(AND(B3127&gt;=_TM1,B3127&lt;=_TM2,OR(TH!L3127="1111",TH!M3127="1111")),TH!D3127,""),"")</f>
        <v/>
      </c>
      <c r="B3127" s="36">
        <f t="shared" si="173"/>
        <v>5</v>
      </c>
      <c r="C3127" s="37">
        <f t="shared" si="176"/>
        <v>41060</v>
      </c>
      <c r="D3127" s="37" t="s">
        <v>1738</v>
      </c>
      <c r="E3127" s="191">
        <v>41060</v>
      </c>
      <c r="F3127" s="40" t="s">
        <v>552</v>
      </c>
      <c r="G3127" s="40" t="s">
        <v>1016</v>
      </c>
      <c r="H3127" s="7" t="s">
        <v>1706</v>
      </c>
      <c r="I3127" s="252">
        <v>546</v>
      </c>
      <c r="J3127" s="252">
        <v>12210.655677655677</v>
      </c>
      <c r="K3127" s="38">
        <f t="shared" si="177"/>
        <v>6667018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</row>
    <row r="3128" spans="1:26" ht="15.75" customHeight="1">
      <c r="A3128" s="204" t="str">
        <f>IF(B3128&lt;&gt;"",IF(AND(B3128&gt;=_TM1,B3128&lt;=_TM2,OR(TH!L3128="1111",TH!M3128="1111")),TH!D3128,""),"")</f>
        <v/>
      </c>
      <c r="B3128" s="36">
        <f t="shared" si="173"/>
        <v>6</v>
      </c>
      <c r="C3128" s="37">
        <f t="shared" si="176"/>
        <v>41061</v>
      </c>
      <c r="D3128" s="37" t="s">
        <v>1738</v>
      </c>
      <c r="E3128" s="191">
        <v>41061</v>
      </c>
      <c r="F3128" s="40" t="s">
        <v>1178</v>
      </c>
      <c r="G3128" s="40" t="s">
        <v>1017</v>
      </c>
      <c r="H3128" s="7" t="s">
        <v>1706</v>
      </c>
      <c r="I3128" s="252">
        <v>620</v>
      </c>
      <c r="J3128" s="252">
        <v>7009.9435483870966</v>
      </c>
      <c r="K3128" s="38">
        <f t="shared" si="177"/>
        <v>4346165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</row>
    <row r="3129" spans="1:26" ht="15.75" customHeight="1">
      <c r="A3129" s="204" t="str">
        <f>IF(B3129&lt;&gt;"",IF(AND(B3129&gt;=_TM1,B3129&lt;=_TM2,OR(TH!L3129="1111",TH!M3129="1111")),TH!D3129,""),"")</f>
        <v/>
      </c>
      <c r="B3129" s="36">
        <f t="shared" si="173"/>
        <v>6</v>
      </c>
      <c r="C3129" s="37">
        <f t="shared" si="176"/>
        <v>41061</v>
      </c>
      <c r="D3129" s="37" t="s">
        <v>1738</v>
      </c>
      <c r="E3129" s="191">
        <v>41061</v>
      </c>
      <c r="F3129" s="40" t="s">
        <v>1177</v>
      </c>
      <c r="G3129" s="40" t="s">
        <v>1017</v>
      </c>
      <c r="H3129" s="7" t="s">
        <v>1706</v>
      </c>
      <c r="I3129" s="252">
        <v>196</v>
      </c>
      <c r="J3129" s="252">
        <v>7310.1224489795923</v>
      </c>
      <c r="K3129" s="38">
        <f t="shared" si="177"/>
        <v>1432784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</row>
    <row r="3130" spans="1:26" ht="15.75" customHeight="1">
      <c r="A3130" s="204" t="str">
        <f>IF(B3130&lt;&gt;"",IF(AND(B3130&gt;=_TM1,B3130&lt;=_TM2,OR(TH!L3130="1111",TH!M3130="1111")),TH!D3130,""),"")</f>
        <v/>
      </c>
      <c r="B3130" s="36">
        <f t="shared" si="173"/>
        <v>6</v>
      </c>
      <c r="C3130" s="37">
        <f t="shared" si="176"/>
        <v>41071</v>
      </c>
      <c r="D3130" s="37" t="s">
        <v>1738</v>
      </c>
      <c r="E3130" s="191">
        <v>41071</v>
      </c>
      <c r="F3130" s="40" t="s">
        <v>1145</v>
      </c>
      <c r="G3130" s="40" t="s">
        <v>1019</v>
      </c>
      <c r="H3130" s="7" t="s">
        <v>1706</v>
      </c>
      <c r="I3130" s="252">
        <v>452</v>
      </c>
      <c r="J3130" s="252">
        <v>10976.03982300885</v>
      </c>
      <c r="K3130" s="38">
        <f t="shared" si="177"/>
        <v>4961170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</row>
    <row r="3131" spans="1:26" ht="15.75" customHeight="1">
      <c r="A3131" s="204" t="str">
        <f>IF(B3131&lt;&gt;"",IF(AND(B3131&gt;=_TM1,B3131&lt;=_TM2,OR(TH!L3131="1111",TH!M3131="1111")),TH!D3131,""),"")</f>
        <v/>
      </c>
      <c r="B3131" s="36">
        <f t="shared" si="173"/>
        <v>6</v>
      </c>
      <c r="C3131" s="37">
        <f t="shared" si="176"/>
        <v>41071</v>
      </c>
      <c r="D3131" s="37" t="s">
        <v>1738</v>
      </c>
      <c r="E3131" s="191">
        <v>41071</v>
      </c>
      <c r="F3131" s="40" t="s">
        <v>1220</v>
      </c>
      <c r="G3131" s="40" t="s">
        <v>1019</v>
      </c>
      <c r="H3131" s="7" t="s">
        <v>1706</v>
      </c>
      <c r="I3131" s="252">
        <v>180</v>
      </c>
      <c r="J3131" s="252">
        <v>6761.3166666666666</v>
      </c>
      <c r="K3131" s="38">
        <f t="shared" si="177"/>
        <v>1217037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</row>
    <row r="3132" spans="1:26" ht="15.75" customHeight="1">
      <c r="A3132" s="204" t="str">
        <f>IF(B3132&lt;&gt;"",IF(AND(B3132&gt;=_TM1,B3132&lt;=_TM2,OR(TH!L3132="1111",TH!M3132="1111")),TH!D3132,""),"")</f>
        <v/>
      </c>
      <c r="B3132" s="36">
        <f t="shared" si="173"/>
        <v>6</v>
      </c>
      <c r="C3132" s="37">
        <f t="shared" si="176"/>
        <v>41071</v>
      </c>
      <c r="D3132" s="37" t="s">
        <v>1738</v>
      </c>
      <c r="E3132" s="191">
        <v>41071</v>
      </c>
      <c r="F3132" s="40" t="s">
        <v>1150</v>
      </c>
      <c r="G3132" s="40" t="s">
        <v>1019</v>
      </c>
      <c r="H3132" s="7" t="s">
        <v>1706</v>
      </c>
      <c r="I3132" s="252">
        <v>206</v>
      </c>
      <c r="J3132" s="252">
        <v>7028.5631067961167</v>
      </c>
      <c r="K3132" s="38">
        <f t="shared" si="177"/>
        <v>1447884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</row>
    <row r="3133" spans="1:26" ht="15.75" customHeight="1">
      <c r="A3133" s="204" t="str">
        <f>IF(B3133&lt;&gt;"",IF(AND(B3133&gt;=_TM1,B3133&lt;=_TM2,OR(TH!L3133="1111",TH!M3133="1111")),TH!D3133,""),"")</f>
        <v/>
      </c>
      <c r="B3133" s="36">
        <f t="shared" si="173"/>
        <v>6</v>
      </c>
      <c r="C3133" s="37">
        <f t="shared" si="176"/>
        <v>41072</v>
      </c>
      <c r="D3133" s="37" t="s">
        <v>1738</v>
      </c>
      <c r="E3133" s="191">
        <v>41072</v>
      </c>
      <c r="F3133" s="40" t="s">
        <v>1176</v>
      </c>
      <c r="G3133" s="40" t="s">
        <v>1020</v>
      </c>
      <c r="H3133" s="7" t="s">
        <v>1706</v>
      </c>
      <c r="I3133" s="252">
        <v>2220</v>
      </c>
      <c r="J3133" s="252">
        <v>5108.8315315315313</v>
      </c>
      <c r="K3133" s="38">
        <f t="shared" si="177"/>
        <v>11341606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</row>
    <row r="3134" spans="1:26" ht="15.75" customHeight="1">
      <c r="A3134" s="204" t="str">
        <f>IF(B3134&lt;&gt;"",IF(AND(B3134&gt;=_TM1,B3134&lt;=_TM2,OR(TH!L3134="1111",TH!M3134="1111")),TH!D3134,""),"")</f>
        <v/>
      </c>
      <c r="B3134" s="36">
        <f t="shared" si="173"/>
        <v>6</v>
      </c>
      <c r="C3134" s="37">
        <f t="shared" si="176"/>
        <v>41072</v>
      </c>
      <c r="D3134" s="37" t="s">
        <v>1738</v>
      </c>
      <c r="E3134" s="191">
        <v>41072</v>
      </c>
      <c r="F3134" s="40" t="s">
        <v>1175</v>
      </c>
      <c r="G3134" s="40" t="s">
        <v>1021</v>
      </c>
      <c r="H3134" s="7" t="s">
        <v>1706</v>
      </c>
      <c r="I3134" s="252">
        <v>1110</v>
      </c>
      <c r="J3134" s="252">
        <v>6585.9612612612609</v>
      </c>
      <c r="K3134" s="38">
        <f t="shared" si="177"/>
        <v>7310417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</row>
    <row r="3135" spans="1:26" ht="15.75" customHeight="1">
      <c r="A3135" s="204" t="str">
        <f>IF(B3135&lt;&gt;"",IF(AND(B3135&gt;=_TM1,B3135&lt;=_TM2,OR(TH!L3135="1111",TH!M3135="1111")),TH!D3135,""),"")</f>
        <v/>
      </c>
      <c r="B3135" s="36">
        <f t="shared" si="173"/>
        <v>6</v>
      </c>
      <c r="C3135" s="37">
        <f t="shared" si="176"/>
        <v>41083</v>
      </c>
      <c r="D3135" s="37" t="s">
        <v>1738</v>
      </c>
      <c r="E3135" s="191">
        <v>41083</v>
      </c>
      <c r="F3135" s="40" t="s">
        <v>1174</v>
      </c>
      <c r="G3135" s="40" t="s">
        <v>1023</v>
      </c>
      <c r="H3135" s="7" t="s">
        <v>1706</v>
      </c>
      <c r="I3135" s="252">
        <v>1010</v>
      </c>
      <c r="J3135" s="252">
        <v>6578.8128712871285</v>
      </c>
      <c r="K3135" s="38">
        <f t="shared" si="177"/>
        <v>6644601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</row>
    <row r="3136" spans="1:26" ht="15.75" customHeight="1">
      <c r="A3136" s="204" t="str">
        <f>IF(B3136&lt;&gt;"",IF(AND(B3136&gt;=_TM1,B3136&lt;=_TM2,OR(TH!L3136="1111",TH!M3136="1111")),TH!D3136,""),"")</f>
        <v/>
      </c>
      <c r="B3136" s="36">
        <f t="shared" si="173"/>
        <v>6</v>
      </c>
      <c r="C3136" s="37">
        <f t="shared" si="176"/>
        <v>41086</v>
      </c>
      <c r="D3136" s="37" t="s">
        <v>1738</v>
      </c>
      <c r="E3136" s="191">
        <v>41086</v>
      </c>
      <c r="F3136" s="40" t="s">
        <v>1173</v>
      </c>
      <c r="G3136" s="40" t="s">
        <v>1024</v>
      </c>
      <c r="H3136" s="7" t="s">
        <v>1706</v>
      </c>
      <c r="I3136" s="252">
        <v>1884</v>
      </c>
      <c r="J3136" s="252">
        <v>8595.1491507431001</v>
      </c>
      <c r="K3136" s="38">
        <f t="shared" si="177"/>
        <v>16193261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</row>
    <row r="3137" spans="1:26" ht="15.75" customHeight="1">
      <c r="A3137" s="204" t="str">
        <f>IF(B3137&lt;&gt;"",IF(AND(B3137&gt;=_TM1,B3137&lt;=_TM2,OR(TH!L3137="1111",TH!M3137="1111")),TH!D3137,""),"")</f>
        <v/>
      </c>
      <c r="B3137" s="36">
        <f t="shared" si="173"/>
        <v>6</v>
      </c>
      <c r="C3137" s="37">
        <f t="shared" si="176"/>
        <v>41086</v>
      </c>
      <c r="D3137" s="37" t="s">
        <v>1738</v>
      </c>
      <c r="E3137" s="191">
        <v>41086</v>
      </c>
      <c r="F3137" s="40" t="s">
        <v>1172</v>
      </c>
      <c r="G3137" s="40" t="s">
        <v>1025</v>
      </c>
      <c r="H3137" s="7" t="s">
        <v>1706</v>
      </c>
      <c r="I3137" s="252">
        <v>505</v>
      </c>
      <c r="J3137" s="252">
        <v>10282.772277227723</v>
      </c>
      <c r="K3137" s="38">
        <f t="shared" si="177"/>
        <v>5192800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</row>
    <row r="3138" spans="1:26" ht="15.75" customHeight="1">
      <c r="A3138" s="204" t="str">
        <f>IF(B3138&lt;&gt;"",IF(AND(B3138&gt;=_TM1,B3138&lt;=_TM2,OR(TH!L3138="1111",TH!M3138="1111")),TH!D3138,""),"")</f>
        <v/>
      </c>
      <c r="B3138" s="36">
        <f t="shared" si="173"/>
        <v>6</v>
      </c>
      <c r="C3138" s="37">
        <f t="shared" si="176"/>
        <v>41086</v>
      </c>
      <c r="D3138" s="37" t="s">
        <v>1738</v>
      </c>
      <c r="E3138" s="191">
        <v>41086</v>
      </c>
      <c r="F3138" s="40" t="s">
        <v>1171</v>
      </c>
      <c r="G3138" s="40" t="s">
        <v>1025</v>
      </c>
      <c r="H3138" s="7" t="s">
        <v>1706</v>
      </c>
      <c r="I3138" s="252">
        <v>985</v>
      </c>
      <c r="J3138" s="252">
        <v>14708.507614213198</v>
      </c>
      <c r="K3138" s="38">
        <f t="shared" si="177"/>
        <v>14487880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</row>
    <row r="3139" spans="1:26" ht="15.75" customHeight="1">
      <c r="A3139" s="204" t="str">
        <f>IF(B3139&lt;&gt;"",IF(AND(B3139&gt;=_TM1,B3139&lt;=_TM2,OR(TH!L3139="1111",TH!M3139="1111")),TH!D3139,""),"")</f>
        <v/>
      </c>
      <c r="B3139" s="36">
        <f t="shared" si="173"/>
        <v>6</v>
      </c>
      <c r="C3139" s="37">
        <f t="shared" si="176"/>
        <v>41086</v>
      </c>
      <c r="D3139" s="37" t="s">
        <v>1738</v>
      </c>
      <c r="E3139" s="191">
        <v>41086</v>
      </c>
      <c r="F3139" s="40" t="s">
        <v>1496</v>
      </c>
      <c r="G3139" s="40" t="s">
        <v>1027</v>
      </c>
      <c r="H3139" s="7" t="s">
        <v>1706</v>
      </c>
      <c r="I3139" s="252">
        <v>201</v>
      </c>
      <c r="J3139" s="252">
        <v>12516.985074626866</v>
      </c>
      <c r="K3139" s="38">
        <f t="shared" si="177"/>
        <v>2515914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</row>
    <row r="3140" spans="1:26" ht="15.75" customHeight="1">
      <c r="A3140" s="204" t="str">
        <f>IF(B3140&lt;&gt;"",IF(AND(B3140&gt;=_TM1,B3140&lt;=_TM2,OR(TH!L3140="1111",TH!M3140="1111")),TH!D3140,""),"")</f>
        <v/>
      </c>
      <c r="B3140" s="36">
        <f t="shared" si="173"/>
        <v>6</v>
      </c>
      <c r="C3140" s="37">
        <f t="shared" si="176"/>
        <v>41086</v>
      </c>
      <c r="D3140" s="37" t="s">
        <v>1738</v>
      </c>
      <c r="E3140" s="191">
        <v>41086</v>
      </c>
      <c r="F3140" s="40" t="s">
        <v>1510</v>
      </c>
      <c r="G3140" s="40" t="s">
        <v>1027</v>
      </c>
      <c r="H3140" s="7" t="s">
        <v>1706</v>
      </c>
      <c r="I3140" s="252">
        <v>75</v>
      </c>
      <c r="J3140" s="252">
        <v>15339.48</v>
      </c>
      <c r="K3140" s="38">
        <f t="shared" si="177"/>
        <v>1150461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</row>
    <row r="3141" spans="1:26" ht="15.75" customHeight="1">
      <c r="A3141" s="204" t="str">
        <f>IF(B3141&lt;&gt;"",IF(AND(B3141&gt;=_TM1,B3141&lt;=_TM2,OR(TH!L3141="1111",TH!M3141="1111")),TH!D3141,""),"")</f>
        <v/>
      </c>
      <c r="B3141" s="36">
        <f t="shared" si="173"/>
        <v>6</v>
      </c>
      <c r="C3141" s="37">
        <f t="shared" si="176"/>
        <v>41086</v>
      </c>
      <c r="D3141" s="37" t="s">
        <v>1738</v>
      </c>
      <c r="E3141" s="191">
        <v>41086</v>
      </c>
      <c r="F3141" s="40" t="s">
        <v>1526</v>
      </c>
      <c r="G3141" s="40" t="s">
        <v>1027</v>
      </c>
      <c r="H3141" s="7" t="s">
        <v>1706</v>
      </c>
      <c r="I3141" s="252">
        <v>221</v>
      </c>
      <c r="J3141" s="252">
        <v>16117.986425339366</v>
      </c>
      <c r="K3141" s="38">
        <f t="shared" si="177"/>
        <v>3562075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</row>
    <row r="3142" spans="1:26" ht="15.75" customHeight="1">
      <c r="A3142" s="204" t="str">
        <f>IF(B3142&lt;&gt;"",IF(AND(B3142&gt;=_TM1,B3142&lt;=_TM2,OR(TH!L3142="1111",TH!M3142="1111")),TH!D3142,""),"")</f>
        <v/>
      </c>
      <c r="B3142" s="36">
        <f t="shared" si="173"/>
        <v>6</v>
      </c>
      <c r="C3142" s="37">
        <f t="shared" si="176"/>
        <v>41086</v>
      </c>
      <c r="D3142" s="37" t="s">
        <v>1738</v>
      </c>
      <c r="E3142" s="191">
        <v>41086</v>
      </c>
      <c r="F3142" s="40" t="s">
        <v>1538</v>
      </c>
      <c r="G3142" s="40" t="s">
        <v>1027</v>
      </c>
      <c r="H3142" s="7" t="s">
        <v>1706</v>
      </c>
      <c r="I3142" s="252">
        <v>86</v>
      </c>
      <c r="J3142" s="252">
        <v>18783.023255813954</v>
      </c>
      <c r="K3142" s="38">
        <f t="shared" si="177"/>
        <v>1615340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</row>
    <row r="3143" spans="1:26" ht="15.75" customHeight="1">
      <c r="A3143" s="204" t="str">
        <f>IF(B3143&lt;&gt;"",IF(AND(B3143&gt;=_TM1,B3143&lt;=_TM2,OR(TH!L3143="1111",TH!M3143="1111")),TH!D3143,""),"")</f>
        <v/>
      </c>
      <c r="B3143" s="36">
        <f t="shared" si="173"/>
        <v>6</v>
      </c>
      <c r="C3143" s="37">
        <f t="shared" si="176"/>
        <v>41086</v>
      </c>
      <c r="D3143" s="37" t="s">
        <v>1738</v>
      </c>
      <c r="E3143" s="191">
        <v>41086</v>
      </c>
      <c r="F3143" s="40" t="s">
        <v>1513</v>
      </c>
      <c r="G3143" s="40" t="s">
        <v>1027</v>
      </c>
      <c r="H3143" s="7" t="s">
        <v>1706</v>
      </c>
      <c r="I3143" s="252">
        <v>310</v>
      </c>
      <c r="J3143" s="252">
        <v>15741.396774193548</v>
      </c>
      <c r="K3143" s="38">
        <f t="shared" si="177"/>
        <v>4879833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</row>
    <row r="3144" spans="1:26" ht="15.75" customHeight="1">
      <c r="A3144" s="204" t="str">
        <f>IF(B3144&lt;&gt;"",IF(AND(B3144&gt;=_TM1,B3144&lt;=_TM2,OR(TH!L3144="1111",TH!M3144="1111")),TH!D3144,""),"")</f>
        <v/>
      </c>
      <c r="B3144" s="36">
        <f t="shared" si="173"/>
        <v>6</v>
      </c>
      <c r="C3144" s="37">
        <f t="shared" si="176"/>
        <v>41086</v>
      </c>
      <c r="D3144" s="37" t="s">
        <v>1738</v>
      </c>
      <c r="E3144" s="191">
        <v>41086</v>
      </c>
      <c r="F3144" s="40" t="s">
        <v>1532</v>
      </c>
      <c r="G3144" s="40" t="s">
        <v>1027</v>
      </c>
      <c r="H3144" s="7" t="s">
        <v>1706</v>
      </c>
      <c r="I3144" s="252">
        <v>239</v>
      </c>
      <c r="J3144" s="252">
        <v>25470.476987447699</v>
      </c>
      <c r="K3144" s="38">
        <f t="shared" si="177"/>
        <v>6087444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</row>
    <row r="3145" spans="1:26" ht="15.75" customHeight="1">
      <c r="A3145" s="204" t="str">
        <f>IF(B3145&lt;&gt;"",IF(AND(B3145&gt;=_TM1,B3145&lt;=_TM2,OR(TH!L3145="1111",TH!M3145="1111")),TH!D3145,""),"")</f>
        <v/>
      </c>
      <c r="B3145" s="36">
        <f t="shared" si="173"/>
        <v>6</v>
      </c>
      <c r="C3145" s="37">
        <f t="shared" si="176"/>
        <v>41086</v>
      </c>
      <c r="D3145" s="37" t="s">
        <v>1738</v>
      </c>
      <c r="E3145" s="191">
        <v>41086</v>
      </c>
      <c r="F3145" s="40" t="s">
        <v>1512</v>
      </c>
      <c r="G3145" s="40" t="s">
        <v>1027</v>
      </c>
      <c r="H3145" s="7" t="s">
        <v>1706</v>
      </c>
      <c r="I3145" s="252">
        <v>1</v>
      </c>
      <c r="J3145" s="252">
        <v>10283</v>
      </c>
      <c r="K3145" s="38">
        <f t="shared" si="177"/>
        <v>10283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</row>
    <row r="3146" spans="1:26" ht="15.75" customHeight="1">
      <c r="A3146" s="204" t="str">
        <f>IF(B3146&lt;&gt;"",IF(AND(B3146&gt;=_TM1,B3146&lt;=_TM2,OR(TH!L3146="1111",TH!M3146="1111")),TH!D3146,""),"")</f>
        <v/>
      </c>
      <c r="B3146" s="36">
        <f t="shared" si="173"/>
        <v>6</v>
      </c>
      <c r="C3146" s="37">
        <f t="shared" si="176"/>
        <v>41086</v>
      </c>
      <c r="D3146" s="37" t="s">
        <v>1738</v>
      </c>
      <c r="E3146" s="191">
        <v>41086</v>
      </c>
      <c r="F3146" s="40" t="s">
        <v>1516</v>
      </c>
      <c r="G3146" s="40" t="s">
        <v>1027</v>
      </c>
      <c r="H3146" s="7" t="s">
        <v>1706</v>
      </c>
      <c r="I3146" s="252">
        <v>260</v>
      </c>
      <c r="J3146" s="252">
        <v>18978.042307692307</v>
      </c>
      <c r="K3146" s="38">
        <f t="shared" si="177"/>
        <v>4934291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</row>
    <row r="3147" spans="1:26" ht="15.75" customHeight="1">
      <c r="A3147" s="204" t="str">
        <f>IF(B3147&lt;&gt;"",IF(AND(B3147&gt;=_TM1,B3147&lt;=_TM2,OR(TH!L3147="1111",TH!M3147="1111")),TH!D3147,""),"")</f>
        <v/>
      </c>
      <c r="B3147" s="36">
        <f t="shared" si="173"/>
        <v>6</v>
      </c>
      <c r="C3147" s="37">
        <f t="shared" si="176"/>
        <v>41086</v>
      </c>
      <c r="D3147" s="37" t="s">
        <v>1738</v>
      </c>
      <c r="E3147" s="191">
        <v>41086</v>
      </c>
      <c r="F3147" s="40" t="s">
        <v>1523</v>
      </c>
      <c r="G3147" s="40" t="s">
        <v>1027</v>
      </c>
      <c r="H3147" s="7" t="s">
        <v>1706</v>
      </c>
      <c r="I3147" s="252">
        <v>236</v>
      </c>
      <c r="J3147" s="252">
        <v>12634.716101694916</v>
      </c>
      <c r="K3147" s="38">
        <f t="shared" si="177"/>
        <v>2981793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</row>
    <row r="3148" spans="1:26" ht="15.75" customHeight="1">
      <c r="A3148" s="204" t="str">
        <f>IF(B3148&lt;&gt;"",IF(AND(B3148&gt;=_TM1,B3148&lt;=_TM2,OR(TH!L3148="1111",TH!M3148="1111")),TH!D3148,""),"")</f>
        <v/>
      </c>
      <c r="B3148" s="36">
        <f t="shared" si="173"/>
        <v>6</v>
      </c>
      <c r="C3148" s="37">
        <f t="shared" si="176"/>
        <v>41086</v>
      </c>
      <c r="D3148" s="37" t="s">
        <v>1738</v>
      </c>
      <c r="E3148" s="191">
        <v>41086</v>
      </c>
      <c r="F3148" s="40" t="s">
        <v>1524</v>
      </c>
      <c r="G3148" s="40" t="s">
        <v>1027</v>
      </c>
      <c r="H3148" s="7" t="s">
        <v>1706</v>
      </c>
      <c r="I3148" s="252">
        <v>350</v>
      </c>
      <c r="J3148" s="252">
        <v>21478.814285714285</v>
      </c>
      <c r="K3148" s="38">
        <f t="shared" si="177"/>
        <v>7517585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</row>
    <row r="3149" spans="1:26" ht="15.75" customHeight="1">
      <c r="A3149" s="204" t="str">
        <f>IF(B3149&lt;&gt;"",IF(AND(B3149&gt;=_TM1,B3149&lt;=_TM2,OR(TH!L3149="1111",TH!M3149="1111")),TH!D3149,""),"")</f>
        <v/>
      </c>
      <c r="B3149" s="36">
        <f t="shared" si="173"/>
        <v>6</v>
      </c>
      <c r="C3149" s="37">
        <f t="shared" si="176"/>
        <v>41090</v>
      </c>
      <c r="D3149" s="37" t="s">
        <v>1738</v>
      </c>
      <c r="E3149" s="191">
        <v>41090</v>
      </c>
      <c r="F3149" s="40" t="s">
        <v>1501</v>
      </c>
      <c r="G3149" s="40" t="s">
        <v>1028</v>
      </c>
      <c r="H3149" s="7" t="s">
        <v>1706</v>
      </c>
      <c r="I3149" s="252">
        <v>450</v>
      </c>
      <c r="J3149" s="252">
        <v>8039.9288888888887</v>
      </c>
      <c r="K3149" s="38">
        <f t="shared" si="177"/>
        <v>3617968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</row>
    <row r="3150" spans="1:26" ht="15.75" customHeight="1">
      <c r="A3150" s="204" t="str">
        <f>IF(B3150&lt;&gt;"",IF(AND(B3150&gt;=_TM1,B3150&lt;=_TM2,OR(TH!L3150="1111",TH!M3150="1111")),TH!D3150,""),"")</f>
        <v/>
      </c>
      <c r="B3150" s="36">
        <f t="shared" si="173"/>
        <v>6</v>
      </c>
      <c r="C3150" s="37">
        <f t="shared" si="176"/>
        <v>41090</v>
      </c>
      <c r="D3150" s="37" t="s">
        <v>1738</v>
      </c>
      <c r="E3150" s="191">
        <v>41090</v>
      </c>
      <c r="F3150" s="40" t="s">
        <v>1534</v>
      </c>
      <c r="G3150" s="40" t="s">
        <v>1028</v>
      </c>
      <c r="H3150" s="7" t="s">
        <v>1706</v>
      </c>
      <c r="I3150" s="252">
        <v>789</v>
      </c>
      <c r="J3150" s="252">
        <v>8990.2610899873252</v>
      </c>
      <c r="K3150" s="38">
        <f t="shared" si="177"/>
        <v>7093316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</row>
    <row r="3151" spans="1:26" ht="15.75" customHeight="1">
      <c r="A3151" s="204" t="str">
        <f>IF(B3151&lt;&gt;"",IF(AND(B3151&gt;=_TM1,B3151&lt;=_TM2,OR(TH!L3151="1111",TH!M3151="1111")),TH!D3151,""),"")</f>
        <v/>
      </c>
      <c r="B3151" s="36">
        <f t="shared" si="173"/>
        <v>6</v>
      </c>
      <c r="C3151" s="37">
        <f t="shared" si="176"/>
        <v>41090</v>
      </c>
      <c r="D3151" s="37" t="s">
        <v>1738</v>
      </c>
      <c r="E3151" s="191">
        <v>41090</v>
      </c>
      <c r="F3151" s="40" t="s">
        <v>1536</v>
      </c>
      <c r="G3151" s="40" t="s">
        <v>1028</v>
      </c>
      <c r="H3151" s="7" t="s">
        <v>1706</v>
      </c>
      <c r="I3151" s="252">
        <v>902</v>
      </c>
      <c r="J3151" s="252">
        <v>8732.2605321507763</v>
      </c>
      <c r="K3151" s="38">
        <f t="shared" si="177"/>
        <v>7876499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</row>
    <row r="3152" spans="1:26" ht="15.75" customHeight="1">
      <c r="A3152" s="204" t="str">
        <f>IF(B3152&lt;&gt;"",IF(AND(B3152&gt;=_TM1,B3152&lt;=_TM2,OR(TH!L3152="1111",TH!M3152="1111")),TH!D3152,""),"")</f>
        <v/>
      </c>
      <c r="B3152" s="36">
        <f t="shared" si="173"/>
        <v>6</v>
      </c>
      <c r="C3152" s="37">
        <f t="shared" si="176"/>
        <v>41090</v>
      </c>
      <c r="D3152" s="37" t="s">
        <v>1738</v>
      </c>
      <c r="E3152" s="191">
        <v>41090</v>
      </c>
      <c r="F3152" s="40" t="s">
        <v>1539</v>
      </c>
      <c r="G3152" s="40" t="s">
        <v>1028</v>
      </c>
      <c r="H3152" s="7" t="s">
        <v>1706</v>
      </c>
      <c r="I3152" s="252">
        <v>456</v>
      </c>
      <c r="J3152" s="252">
        <v>7341.9627192982452</v>
      </c>
      <c r="K3152" s="38">
        <f t="shared" si="177"/>
        <v>3347935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</row>
    <row r="3153" spans="1:26" ht="15.75" customHeight="1">
      <c r="A3153" s="204" t="str">
        <f>IF(B3153&lt;&gt;"",IF(AND(B3153&gt;=_TM1,B3153&lt;=_TM2,OR(TH!L3153="1111",TH!M3153="1111")),TH!D3153,""),"")</f>
        <v/>
      </c>
      <c r="B3153" s="36">
        <f t="shared" si="173"/>
        <v>6</v>
      </c>
      <c r="C3153" s="37">
        <f t="shared" si="176"/>
        <v>41090</v>
      </c>
      <c r="D3153" s="37" t="s">
        <v>1738</v>
      </c>
      <c r="E3153" s="191">
        <v>41090</v>
      </c>
      <c r="F3153" s="40" t="s">
        <v>1527</v>
      </c>
      <c r="G3153" s="40" t="s">
        <v>1028</v>
      </c>
      <c r="H3153" s="7" t="s">
        <v>1706</v>
      </c>
      <c r="I3153" s="252">
        <v>480</v>
      </c>
      <c r="J3153" s="252">
        <v>9792.0416666666661</v>
      </c>
      <c r="K3153" s="38">
        <f t="shared" si="177"/>
        <v>4700180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</row>
    <row r="3154" spans="1:26" ht="15.75" customHeight="1">
      <c r="A3154" s="204" t="str">
        <f>IF(B3154&lt;&gt;"",IF(AND(B3154&gt;=_TM1,B3154&lt;=_TM2,OR(TH!L3154="1111",TH!M3154="1111")),TH!D3154,""),"")</f>
        <v/>
      </c>
      <c r="B3154" s="36">
        <f t="shared" si="173"/>
        <v>6</v>
      </c>
      <c r="C3154" s="37">
        <f t="shared" si="176"/>
        <v>41090</v>
      </c>
      <c r="D3154" s="37" t="s">
        <v>1738</v>
      </c>
      <c r="E3154" s="191">
        <v>41090</v>
      </c>
      <c r="F3154" s="40" t="s">
        <v>1527</v>
      </c>
      <c r="G3154" s="40" t="s">
        <v>1028</v>
      </c>
      <c r="H3154" s="7" t="s">
        <v>1706</v>
      </c>
      <c r="I3154" s="252">
        <v>579</v>
      </c>
      <c r="J3154" s="252">
        <v>10463.658031088084</v>
      </c>
      <c r="K3154" s="38">
        <f t="shared" si="177"/>
        <v>6058458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</row>
    <row r="3155" spans="1:26" ht="15.75" customHeight="1">
      <c r="A3155" s="204" t="str">
        <f>IF(B3155&lt;&gt;"",IF(AND(B3155&gt;=_TM1,B3155&lt;=_TM2,OR(TH!L3155="1111",TH!M3155="1111")),TH!D3155,""),"")</f>
        <v/>
      </c>
      <c r="B3155" s="36">
        <f t="shared" si="173"/>
        <v>6</v>
      </c>
      <c r="C3155" s="37">
        <f t="shared" si="176"/>
        <v>41090</v>
      </c>
      <c r="D3155" s="37" t="s">
        <v>1738</v>
      </c>
      <c r="E3155" s="191">
        <v>41090</v>
      </c>
      <c r="F3155" s="40" t="s">
        <v>1503</v>
      </c>
      <c r="G3155" s="40" t="s">
        <v>1028</v>
      </c>
      <c r="H3155" s="7" t="s">
        <v>1706</v>
      </c>
      <c r="I3155" s="252">
        <v>170</v>
      </c>
      <c r="J3155" s="252">
        <v>8066.3352941176472</v>
      </c>
      <c r="K3155" s="38">
        <f t="shared" si="177"/>
        <v>1371277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</row>
    <row r="3156" spans="1:26" ht="15.75" customHeight="1">
      <c r="A3156" s="204" t="str">
        <f>IF(B3156&lt;&gt;"",IF(AND(B3156&gt;=_TM1,B3156&lt;=_TM2,OR(TH!L3156="1111",TH!M3156="1111")),TH!D3156,""),"")</f>
        <v/>
      </c>
      <c r="B3156" s="36">
        <f t="shared" si="173"/>
        <v>6</v>
      </c>
      <c r="C3156" s="37">
        <f t="shared" si="176"/>
        <v>41090</v>
      </c>
      <c r="D3156" s="37" t="s">
        <v>1738</v>
      </c>
      <c r="E3156" s="191">
        <v>41090</v>
      </c>
      <c r="F3156" s="40" t="s">
        <v>1512</v>
      </c>
      <c r="G3156" s="40" t="s">
        <v>1028</v>
      </c>
      <c r="H3156" s="7" t="s">
        <v>1706</v>
      </c>
      <c r="I3156" s="252">
        <v>260</v>
      </c>
      <c r="J3156" s="252">
        <v>8894.3576923076926</v>
      </c>
      <c r="K3156" s="38">
        <f t="shared" si="177"/>
        <v>2312533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</row>
    <row r="3157" spans="1:26" ht="15.75" customHeight="1">
      <c r="A3157" s="204" t="str">
        <f>IF(B3157&lt;&gt;"",IF(AND(B3157&gt;=_TM1,B3157&lt;=_TM2,OR(TH!L3157="1111",TH!M3157="1111")),TH!D3157,""),"")</f>
        <v/>
      </c>
      <c r="B3157" s="36">
        <f t="shared" si="173"/>
        <v>6</v>
      </c>
      <c r="C3157" s="37">
        <f t="shared" si="176"/>
        <v>41090</v>
      </c>
      <c r="D3157" s="37" t="s">
        <v>1738</v>
      </c>
      <c r="E3157" s="191">
        <v>41090</v>
      </c>
      <c r="F3157" s="40" t="s">
        <v>1515</v>
      </c>
      <c r="G3157" s="40" t="s">
        <v>1028</v>
      </c>
      <c r="H3157" s="7" t="s">
        <v>1706</v>
      </c>
      <c r="I3157" s="252">
        <v>245</v>
      </c>
      <c r="J3157" s="252">
        <v>12031.040816326531</v>
      </c>
      <c r="K3157" s="38">
        <f t="shared" si="177"/>
        <v>2947605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</row>
    <row r="3158" spans="1:26" ht="15.75" customHeight="1">
      <c r="A3158" s="204" t="str">
        <f>IF(B3158&lt;&gt;"",IF(AND(B3158&gt;=_TM1,B3158&lt;=_TM2,OR(TH!L3158="1111",TH!M3158="1111")),TH!D3158,""),"")</f>
        <v/>
      </c>
      <c r="B3158" s="36">
        <f t="shared" si="173"/>
        <v>6</v>
      </c>
      <c r="C3158" s="37">
        <f t="shared" si="176"/>
        <v>41090</v>
      </c>
      <c r="D3158" s="37" t="s">
        <v>1738</v>
      </c>
      <c r="E3158" s="191">
        <v>41090</v>
      </c>
      <c r="F3158" s="40" t="s">
        <v>1540</v>
      </c>
      <c r="G3158" s="40" t="s">
        <v>1028</v>
      </c>
      <c r="H3158" s="7" t="s">
        <v>1706</v>
      </c>
      <c r="I3158" s="252">
        <v>540</v>
      </c>
      <c r="J3158" s="252">
        <v>12031.04074074074</v>
      </c>
      <c r="K3158" s="38">
        <f t="shared" si="177"/>
        <v>6496762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</row>
    <row r="3159" spans="1:26" ht="15.75" customHeight="1">
      <c r="A3159" s="204" t="str">
        <f>IF(B3159&lt;&gt;"",IF(AND(B3159&gt;=_TM1,B3159&lt;=_TM2,OR(TH!L3159="1111",TH!M3159="1111")),TH!D3159,""),"")</f>
        <v/>
      </c>
      <c r="B3159" s="36">
        <f t="shared" si="173"/>
        <v>6</v>
      </c>
      <c r="C3159" s="37">
        <f t="shared" si="176"/>
        <v>41090</v>
      </c>
      <c r="D3159" s="37" t="s">
        <v>1738</v>
      </c>
      <c r="E3159" s="191">
        <v>41090</v>
      </c>
      <c r="F3159" s="40" t="s">
        <v>1502</v>
      </c>
      <c r="G3159" s="40" t="s">
        <v>1028</v>
      </c>
      <c r="H3159" s="7" t="s">
        <v>1706</v>
      </c>
      <c r="I3159" s="252">
        <v>580</v>
      </c>
      <c r="J3159" s="252">
        <v>8783.4551724137928</v>
      </c>
      <c r="K3159" s="38">
        <f t="shared" si="177"/>
        <v>5094404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</row>
    <row r="3160" spans="1:26" ht="15.75" customHeight="1">
      <c r="A3160" s="204" t="str">
        <f>IF(B3160&lt;&gt;"",IF(AND(B3160&gt;=_TM1,B3160&lt;=_TM2,OR(TH!L3160="1111",TH!M3160="1111")),TH!D3160,""),"")</f>
        <v/>
      </c>
      <c r="B3160" s="36">
        <f t="shared" si="173"/>
        <v>6</v>
      </c>
      <c r="C3160" s="37">
        <f t="shared" si="176"/>
        <v>41090</v>
      </c>
      <c r="D3160" s="37" t="s">
        <v>1738</v>
      </c>
      <c r="E3160" s="191">
        <v>41090</v>
      </c>
      <c r="F3160" s="40" t="s">
        <v>1537</v>
      </c>
      <c r="G3160" s="40" t="s">
        <v>1028</v>
      </c>
      <c r="H3160" s="7" t="s">
        <v>1706</v>
      </c>
      <c r="I3160" s="252">
        <v>470</v>
      </c>
      <c r="J3160" s="252">
        <v>7793.1042553191492</v>
      </c>
      <c r="K3160" s="38">
        <f t="shared" si="177"/>
        <v>3662759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</row>
    <row r="3161" spans="1:26" ht="15.75" customHeight="1">
      <c r="A3161" s="204" t="str">
        <f>IF(B3161&lt;&gt;"",IF(AND(B3161&gt;=_TM1,B3161&lt;=_TM2,OR(TH!L3161="1111",TH!M3161="1111")),TH!D3161,""),"")</f>
        <v/>
      </c>
      <c r="B3161" s="36">
        <f t="shared" si="173"/>
        <v>6</v>
      </c>
      <c r="C3161" s="37">
        <f t="shared" si="176"/>
        <v>41090</v>
      </c>
      <c r="D3161" s="37" t="s">
        <v>1738</v>
      </c>
      <c r="E3161" s="191">
        <v>41090</v>
      </c>
      <c r="F3161" s="40" t="s">
        <v>1514</v>
      </c>
      <c r="G3161" s="40" t="s">
        <v>1028</v>
      </c>
      <c r="H3161" s="7" t="s">
        <v>1706</v>
      </c>
      <c r="I3161" s="252">
        <v>170</v>
      </c>
      <c r="J3161" s="252">
        <v>13251.488235294117</v>
      </c>
      <c r="K3161" s="38">
        <f t="shared" si="177"/>
        <v>2252753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</row>
    <row r="3162" spans="1:26" ht="15.75" customHeight="1">
      <c r="A3162" s="204" t="str">
        <f>IF(B3162&lt;&gt;"",IF(AND(B3162&gt;=_TM1,B3162&lt;=_TM2,OR(TH!L3162="1111",TH!M3162="1111")),TH!D3162,""),"")</f>
        <v/>
      </c>
      <c r="B3162" s="36">
        <f t="shared" si="173"/>
        <v>6</v>
      </c>
      <c r="C3162" s="37">
        <f t="shared" si="176"/>
        <v>41090</v>
      </c>
      <c r="D3162" s="37" t="s">
        <v>1738</v>
      </c>
      <c r="E3162" s="191">
        <v>41090</v>
      </c>
      <c r="F3162" s="40" t="s">
        <v>1541</v>
      </c>
      <c r="G3162" s="40" t="s">
        <v>1028</v>
      </c>
      <c r="H3162" s="7" t="s">
        <v>1706</v>
      </c>
      <c r="I3162" s="252">
        <v>250</v>
      </c>
      <c r="J3162" s="252">
        <v>12031.04</v>
      </c>
      <c r="K3162" s="38">
        <f t="shared" si="177"/>
        <v>3007760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</row>
    <row r="3163" spans="1:26" ht="15.75" customHeight="1">
      <c r="A3163" s="204" t="str">
        <f>IF(B3163&lt;&gt;"",IF(AND(B3163&gt;=_TM1,B3163&lt;=_TM2,OR(TH!L3163="1111",TH!M3163="1111")),TH!D3163,""),"")</f>
        <v/>
      </c>
      <c r="B3163" s="36">
        <f t="shared" si="173"/>
        <v>6</v>
      </c>
      <c r="C3163" s="37">
        <f t="shared" si="176"/>
        <v>41090</v>
      </c>
      <c r="D3163" s="37" t="s">
        <v>1738</v>
      </c>
      <c r="E3163" s="191">
        <v>41090</v>
      </c>
      <c r="F3163" s="40" t="s">
        <v>1504</v>
      </c>
      <c r="G3163" s="40" t="s">
        <v>1028</v>
      </c>
      <c r="H3163" s="7" t="s">
        <v>1706</v>
      </c>
      <c r="I3163" s="252">
        <v>244</v>
      </c>
      <c r="J3163" s="252">
        <v>9970.1803278688531</v>
      </c>
      <c r="K3163" s="38">
        <f t="shared" si="177"/>
        <v>2432724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</row>
    <row r="3164" spans="1:26" ht="15.75" customHeight="1">
      <c r="A3164" s="204" t="str">
        <f>IF(B3164&lt;&gt;"",IF(AND(B3164&gt;=_TM1,B3164&lt;=_TM2,OR(TH!L3164="1111",TH!M3164="1111")),TH!D3164,""),"")</f>
        <v/>
      </c>
      <c r="B3164" s="36">
        <f t="shared" si="173"/>
        <v>6</v>
      </c>
      <c r="C3164" s="37">
        <f t="shared" si="176"/>
        <v>41090</v>
      </c>
      <c r="D3164" s="37" t="s">
        <v>1738</v>
      </c>
      <c r="E3164" s="191">
        <v>41090</v>
      </c>
      <c r="F3164" s="40" t="s">
        <v>1505</v>
      </c>
      <c r="G3164" s="40" t="s">
        <v>1028</v>
      </c>
      <c r="H3164" s="7" t="s">
        <v>1706</v>
      </c>
      <c r="I3164" s="252">
        <v>180</v>
      </c>
      <c r="J3164" s="252">
        <v>10645.216666666667</v>
      </c>
      <c r="K3164" s="38">
        <f t="shared" si="177"/>
        <v>1916139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</row>
    <row r="3165" spans="1:26" s="894" customFormat="1" ht="15.75" customHeight="1">
      <c r="A3165" s="910" t="str">
        <f>IF(B3165&lt;&gt;"",IF(AND(B3165&gt;=_TM1,B3165&lt;=_TM2,OR(TH!L3165="1111",TH!M3165="1111")),TH!D3165,""),"")</f>
        <v/>
      </c>
      <c r="B3165" s="885">
        <f t="shared" si="173"/>
        <v>7</v>
      </c>
      <c r="C3165" s="911">
        <f t="shared" si="176"/>
        <v>41092</v>
      </c>
      <c r="D3165" s="37" t="s">
        <v>1738</v>
      </c>
      <c r="E3165" s="886">
        <v>41092</v>
      </c>
      <c r="F3165" s="916" t="s">
        <v>1170</v>
      </c>
      <c r="G3165" s="916" t="s">
        <v>1029</v>
      </c>
      <c r="H3165" s="914" t="s">
        <v>1706</v>
      </c>
      <c r="I3165" s="890">
        <v>1000</v>
      </c>
      <c r="J3165" s="890">
        <v>5112.9296636346207</v>
      </c>
      <c r="K3165" s="891">
        <f t="shared" si="177"/>
        <v>5112930</v>
      </c>
      <c r="L3165" s="912" t="s">
        <v>183</v>
      </c>
      <c r="M3165" s="912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customHeight="1">
      <c r="A3166" s="204" t="str">
        <f>IF(B3166&lt;&gt;"",IF(AND(B3166&gt;=_TM1,B3166&lt;=_TM2,OR(TH!L3166="1111",TH!M3166="1111")),TH!D3166,""),"")</f>
        <v/>
      </c>
      <c r="B3166" s="36">
        <f t="shared" si="173"/>
        <v>7</v>
      </c>
      <c r="C3166" s="37">
        <f t="shared" si="176"/>
        <v>41093</v>
      </c>
      <c r="D3166" s="37" t="s">
        <v>1738</v>
      </c>
      <c r="E3166" s="191">
        <v>41093</v>
      </c>
      <c r="F3166" s="40" t="s">
        <v>551</v>
      </c>
      <c r="G3166" s="40" t="s">
        <v>1030</v>
      </c>
      <c r="H3166" s="7" t="s">
        <v>1706</v>
      </c>
      <c r="I3166" s="252">
        <v>700</v>
      </c>
      <c r="J3166" s="252">
        <v>4553.3868064917633</v>
      </c>
      <c r="K3166" s="38">
        <f t="shared" si="177"/>
        <v>3187371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customHeight="1">
      <c r="A3167" s="204" t="str">
        <f>IF(B3167&lt;&gt;"",IF(AND(B3167&gt;=_TM1,B3167&lt;=_TM2,OR(TH!L3167="1111",TH!M3167="1111")),TH!D3167,""),"")</f>
        <v/>
      </c>
      <c r="B3167" s="36">
        <f t="shared" si="173"/>
        <v>7</v>
      </c>
      <c r="C3167" s="37">
        <f t="shared" si="176"/>
        <v>41095</v>
      </c>
      <c r="D3167" s="37" t="s">
        <v>1738</v>
      </c>
      <c r="E3167" s="191">
        <v>41095</v>
      </c>
      <c r="F3167" s="40" t="s">
        <v>1121</v>
      </c>
      <c r="G3167" s="40" t="s">
        <v>1031</v>
      </c>
      <c r="H3167" s="7" t="s">
        <v>1706</v>
      </c>
      <c r="I3167" s="252">
        <v>500</v>
      </c>
      <c r="J3167" s="252">
        <v>7028.649663634621</v>
      </c>
      <c r="K3167" s="38">
        <f t="shared" si="177"/>
        <v>3514325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customHeight="1">
      <c r="A3168" s="204" t="str">
        <f>IF(B3168&lt;&gt;"",IF(AND(B3168&gt;=_TM1,B3168&lt;=_TM2,OR(TH!L3168="1111",TH!M3168="1111")),TH!D3168,""),"")</f>
        <v/>
      </c>
      <c r="B3168" s="36">
        <f t="shared" si="173"/>
        <v>7</v>
      </c>
      <c r="C3168" s="37">
        <f t="shared" si="176"/>
        <v>41095</v>
      </c>
      <c r="D3168" s="37" t="s">
        <v>1738</v>
      </c>
      <c r="E3168" s="191">
        <v>41095</v>
      </c>
      <c r="F3168" s="40" t="s">
        <v>1145</v>
      </c>
      <c r="G3168" s="40" t="s">
        <v>1032</v>
      </c>
      <c r="H3168" s="7" t="s">
        <v>1706</v>
      </c>
      <c r="I3168" s="252">
        <v>451</v>
      </c>
      <c r="J3168" s="252">
        <v>10526.365583812005</v>
      </c>
      <c r="K3168" s="38">
        <f t="shared" si="177"/>
        <v>4747391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customHeight="1">
      <c r="A3169" s="204" t="str">
        <f>IF(B3169&lt;&gt;"",IF(AND(B3169&gt;=_TM1,B3169&lt;=_TM2,OR(TH!L3169="1111",TH!M3169="1111")),TH!D3169,""),"")</f>
        <v/>
      </c>
      <c r="B3169" s="36">
        <f t="shared" si="173"/>
        <v>7</v>
      </c>
      <c r="C3169" s="37">
        <f t="shared" si="176"/>
        <v>41095</v>
      </c>
      <c r="D3169" s="37" t="s">
        <v>1738</v>
      </c>
      <c r="E3169" s="191">
        <v>41095</v>
      </c>
      <c r="F3169" s="40" t="s">
        <v>1033</v>
      </c>
      <c r="G3169" s="40" t="s">
        <v>1034</v>
      </c>
      <c r="H3169" s="7" t="s">
        <v>1706</v>
      </c>
      <c r="I3169" s="252">
        <v>622</v>
      </c>
      <c r="J3169" s="252">
        <v>6349.153457846839</v>
      </c>
      <c r="K3169" s="38">
        <f t="shared" si="177"/>
        <v>3949173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customHeight="1">
      <c r="A3170" s="204" t="str">
        <f>IF(B3170&lt;&gt;"",IF(AND(B3170&gt;=_TM1,B3170&lt;=_TM2,OR(TH!L3170="1111",TH!M3170="1111")),TH!D3170,""),"")</f>
        <v/>
      </c>
      <c r="B3170" s="36">
        <f t="shared" si="173"/>
        <v>7</v>
      </c>
      <c r="C3170" s="37">
        <f t="shared" si="176"/>
        <v>41095</v>
      </c>
      <c r="D3170" s="37" t="s">
        <v>1738</v>
      </c>
      <c r="E3170" s="191">
        <v>41095</v>
      </c>
      <c r="F3170" s="40" t="s">
        <v>1169</v>
      </c>
      <c r="G3170" s="40" t="s">
        <v>1034</v>
      </c>
      <c r="H3170" s="7" t="s">
        <v>1706</v>
      </c>
      <c r="I3170" s="252">
        <v>295</v>
      </c>
      <c r="J3170" s="252">
        <v>7234.4788161769939</v>
      </c>
      <c r="K3170" s="38">
        <f t="shared" si="177"/>
        <v>2134171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customHeight="1">
      <c r="A3171" s="204" t="str">
        <f>IF(B3171&lt;&gt;"",IF(AND(B3171&gt;=_TM1,B3171&lt;=_TM2,OR(TH!L3171="1111",TH!M3171="1111")),TH!D3171,""),"")</f>
        <v/>
      </c>
      <c r="B3171" s="36">
        <f t="shared" si="173"/>
        <v>7</v>
      </c>
      <c r="C3171" s="37">
        <f t="shared" si="176"/>
        <v>41095</v>
      </c>
      <c r="D3171" s="37" t="s">
        <v>1738</v>
      </c>
      <c r="E3171" s="191">
        <v>41095</v>
      </c>
      <c r="F3171" s="40" t="s">
        <v>1168</v>
      </c>
      <c r="G3171" s="40" t="s">
        <v>1034</v>
      </c>
      <c r="H3171" s="7" t="s">
        <v>1706</v>
      </c>
      <c r="I3171" s="252">
        <v>70</v>
      </c>
      <c r="J3171" s="252">
        <v>9113.0296636346193</v>
      </c>
      <c r="K3171" s="38">
        <f t="shared" si="177"/>
        <v>637912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customHeight="1">
      <c r="A3172" s="204" t="str">
        <f>IF(B3172&lt;&gt;"",IF(AND(B3172&gt;=_TM1,B3172&lt;=_TM2,OR(TH!L3172="1111",TH!M3172="1111")),TH!D3172,""),"")</f>
        <v/>
      </c>
      <c r="B3172" s="36">
        <f t="shared" si="173"/>
        <v>7</v>
      </c>
      <c r="C3172" s="37">
        <f t="shared" si="176"/>
        <v>41096</v>
      </c>
      <c r="D3172" s="37" t="s">
        <v>1738</v>
      </c>
      <c r="E3172" s="191">
        <v>41096</v>
      </c>
      <c r="F3172" s="40" t="s">
        <v>1167</v>
      </c>
      <c r="G3172" s="40" t="s">
        <v>1035</v>
      </c>
      <c r="H3172" s="7" t="s">
        <v>1706</v>
      </c>
      <c r="I3172" s="252">
        <v>1210</v>
      </c>
      <c r="J3172" s="252">
        <v>4775.0751181800761</v>
      </c>
      <c r="K3172" s="38">
        <f t="shared" si="177"/>
        <v>5777841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customHeight="1">
      <c r="A3173" s="204" t="str">
        <f>IF(B3173&lt;&gt;"",IF(AND(B3173&gt;=_TM1,B3173&lt;=_TM2,OR(TH!L3173="1111",TH!M3173="1111")),TH!D3173,""),"")</f>
        <v/>
      </c>
      <c r="B3173" s="36">
        <f t="shared" si="173"/>
        <v>7</v>
      </c>
      <c r="C3173" s="37">
        <f t="shared" si="176"/>
        <v>41096</v>
      </c>
      <c r="D3173" s="37" t="s">
        <v>1738</v>
      </c>
      <c r="E3173" s="191">
        <v>41096</v>
      </c>
      <c r="F3173" s="40" t="s">
        <v>1131</v>
      </c>
      <c r="G3173" s="40" t="s">
        <v>1035</v>
      </c>
      <c r="H3173" s="7" t="s">
        <v>1706</v>
      </c>
      <c r="I3173" s="252">
        <v>310</v>
      </c>
      <c r="J3173" s="252">
        <v>13178.529663634619</v>
      </c>
      <c r="K3173" s="38">
        <f t="shared" si="177"/>
        <v>4085344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customHeight="1">
      <c r="A3174" s="204" t="str">
        <f>IF(B3174&lt;&gt;"",IF(AND(B3174&gt;=_TM1,B3174&lt;=_TM2,OR(TH!L3174="1111",TH!M3174="1111")),TH!D3174,""),"")</f>
        <v/>
      </c>
      <c r="B3174" s="36">
        <f t="shared" si="173"/>
        <v>7</v>
      </c>
      <c r="C3174" s="37">
        <f t="shared" si="176"/>
        <v>41096</v>
      </c>
      <c r="D3174" s="37" t="s">
        <v>1738</v>
      </c>
      <c r="E3174" s="191">
        <v>41096</v>
      </c>
      <c r="F3174" s="40" t="s">
        <v>1166</v>
      </c>
      <c r="G3174" s="40" t="s">
        <v>1035</v>
      </c>
      <c r="H3174" s="7" t="s">
        <v>1706</v>
      </c>
      <c r="I3174" s="252">
        <v>324</v>
      </c>
      <c r="J3174" s="252">
        <v>4459.5296636346202</v>
      </c>
      <c r="K3174" s="38">
        <f t="shared" si="177"/>
        <v>1444888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customHeight="1">
      <c r="A3175" s="204" t="str">
        <f>IF(B3175&lt;&gt;"",IF(AND(B3175&gt;=_TM1,B3175&lt;=_TM2,OR(TH!L3175="1111",TH!M3175="1111")),TH!D3175,""),"")</f>
        <v/>
      </c>
      <c r="B3175" s="36">
        <f t="shared" si="173"/>
        <v>7</v>
      </c>
      <c r="C3175" s="37">
        <f t="shared" si="176"/>
        <v>41096</v>
      </c>
      <c r="D3175" s="37" t="s">
        <v>1738</v>
      </c>
      <c r="E3175" s="191">
        <v>41096</v>
      </c>
      <c r="F3175" s="40" t="s">
        <v>1165</v>
      </c>
      <c r="G3175" s="40" t="s">
        <v>1036</v>
      </c>
      <c r="H3175" s="7" t="s">
        <v>1706</v>
      </c>
      <c r="I3175" s="252">
        <v>1107</v>
      </c>
      <c r="J3175" s="252">
        <v>4799.9280376183597</v>
      </c>
      <c r="K3175" s="38">
        <f t="shared" si="177"/>
        <v>5313520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customHeight="1">
      <c r="A3176" s="204" t="str">
        <f>IF(B3176&lt;&gt;"",IF(AND(B3176&gt;=_TM1,B3176&lt;=_TM2,OR(TH!L3176="1111",TH!M3176="1111")),TH!D3176,""),"")</f>
        <v/>
      </c>
      <c r="B3176" s="36">
        <f t="shared" si="173"/>
        <v>7</v>
      </c>
      <c r="C3176" s="37">
        <f t="shared" si="176"/>
        <v>41104</v>
      </c>
      <c r="D3176" s="37" t="s">
        <v>1738</v>
      </c>
      <c r="E3176" s="191">
        <v>41104</v>
      </c>
      <c r="F3176" s="40" t="s">
        <v>1164</v>
      </c>
      <c r="G3176" s="40" t="s">
        <v>426</v>
      </c>
      <c r="H3176" s="7" t="s">
        <v>1706</v>
      </c>
      <c r="I3176" s="252">
        <v>1012</v>
      </c>
      <c r="J3176" s="252">
        <v>5267.1245252947001</v>
      </c>
      <c r="K3176" s="38">
        <f t="shared" si="177"/>
        <v>5330330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customHeight="1">
      <c r="A3177" s="204" t="str">
        <f>IF(B3177&lt;&gt;"",IF(AND(B3177&gt;=_TM1,B3177&lt;=_TM2,OR(TH!L3177="1111",TH!M3177="1111")),TH!D3177,""),"")</f>
        <v/>
      </c>
      <c r="B3177" s="36">
        <f t="shared" si="173"/>
        <v>7</v>
      </c>
      <c r="C3177" s="37">
        <f t="shared" si="176"/>
        <v>41104</v>
      </c>
      <c r="D3177" s="37" t="s">
        <v>1738</v>
      </c>
      <c r="E3177" s="191">
        <v>41104</v>
      </c>
      <c r="F3177" s="40" t="s">
        <v>1147</v>
      </c>
      <c r="G3177" s="40" t="s">
        <v>756</v>
      </c>
      <c r="H3177" s="7" t="s">
        <v>1706</v>
      </c>
      <c r="I3177" s="252">
        <v>136</v>
      </c>
      <c r="J3177" s="252">
        <v>36946.529663634625</v>
      </c>
      <c r="K3177" s="38">
        <f t="shared" si="177"/>
        <v>5024728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customHeight="1">
      <c r="A3178" s="204" t="str">
        <f>IF(B3178&lt;&gt;"",IF(AND(B3178&gt;=_TM1,B3178&lt;=_TM2,OR(TH!L3178="1111",TH!M3178="1111")),TH!D3178,""),"")</f>
        <v/>
      </c>
      <c r="B3178" s="36">
        <f t="shared" si="173"/>
        <v>7</v>
      </c>
      <c r="C3178" s="37">
        <f t="shared" si="176"/>
        <v>41104</v>
      </c>
      <c r="D3178" s="37" t="s">
        <v>1738</v>
      </c>
      <c r="E3178" s="191">
        <v>41104</v>
      </c>
      <c r="F3178" s="40" t="s">
        <v>1146</v>
      </c>
      <c r="G3178" s="40" t="s">
        <v>756</v>
      </c>
      <c r="H3178" s="7" t="s">
        <v>1706</v>
      </c>
      <c r="I3178" s="252">
        <v>47</v>
      </c>
      <c r="J3178" s="252">
        <v>42540.827535975048</v>
      </c>
      <c r="K3178" s="38">
        <f t="shared" si="177"/>
        <v>1999419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customHeight="1">
      <c r="A3179" s="204" t="str">
        <f>IF(B3179&lt;&gt;"",IF(AND(B3179&gt;=_TM1,B3179&lt;=_TM2,OR(TH!L3179="1111",TH!M3179="1111")),TH!D3179,""),"")</f>
        <v/>
      </c>
      <c r="B3179" s="36">
        <f t="shared" si="173"/>
        <v>7</v>
      </c>
      <c r="C3179" s="37">
        <f t="shared" si="176"/>
        <v>41104</v>
      </c>
      <c r="D3179" s="37" t="s">
        <v>1738</v>
      </c>
      <c r="E3179" s="191">
        <v>41104</v>
      </c>
      <c r="F3179" s="40" t="s">
        <v>1037</v>
      </c>
      <c r="G3179" s="40" t="s">
        <v>1038</v>
      </c>
      <c r="H3179" s="7" t="s">
        <v>1706</v>
      </c>
      <c r="I3179" s="252">
        <v>342</v>
      </c>
      <c r="J3179" s="252">
        <v>5832.4594881960247</v>
      </c>
      <c r="K3179" s="38">
        <f t="shared" si="177"/>
        <v>1994701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customHeight="1">
      <c r="A3180" s="204" t="str">
        <f>IF(B3180&lt;&gt;"",IF(AND(B3180&gt;=_TM1,B3180&lt;=_TM2,OR(TH!L3180="1111",TH!M3180="1111")),TH!D3180,""),"")</f>
        <v/>
      </c>
      <c r="B3180" s="36">
        <f t="shared" si="173"/>
        <v>7</v>
      </c>
      <c r="C3180" s="37">
        <f t="shared" si="176"/>
        <v>41104</v>
      </c>
      <c r="D3180" s="37" t="s">
        <v>1738</v>
      </c>
      <c r="E3180" s="191">
        <v>41104</v>
      </c>
      <c r="F3180" s="40" t="s">
        <v>1227</v>
      </c>
      <c r="G3180" s="40" t="s">
        <v>1038</v>
      </c>
      <c r="H3180" s="7" t="s">
        <v>1706</v>
      </c>
      <c r="I3180" s="252">
        <v>105</v>
      </c>
      <c r="J3180" s="252">
        <v>9180.7487112536692</v>
      </c>
      <c r="K3180" s="38">
        <f t="shared" si="177"/>
        <v>963979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customHeight="1">
      <c r="A3181" s="204" t="str">
        <f>IF(B3181&lt;&gt;"",IF(AND(B3181&gt;=_TM1,B3181&lt;=_TM2,OR(TH!L3181="1111",TH!M3181="1111")),TH!D3181,""),"")</f>
        <v/>
      </c>
      <c r="B3181" s="36">
        <f t="shared" si="173"/>
        <v>7</v>
      </c>
      <c r="C3181" s="37">
        <f t="shared" si="176"/>
        <v>41105</v>
      </c>
      <c r="D3181" s="37" t="s">
        <v>1738</v>
      </c>
      <c r="E3181" s="191">
        <v>41105</v>
      </c>
      <c r="F3181" s="40" t="s">
        <v>1152</v>
      </c>
      <c r="G3181" s="40" t="s">
        <v>429</v>
      </c>
      <c r="H3181" s="7" t="s">
        <v>1706</v>
      </c>
      <c r="I3181" s="252">
        <v>1287</v>
      </c>
      <c r="J3181" s="252">
        <v>4872.6361127410692</v>
      </c>
      <c r="K3181" s="38">
        <f t="shared" si="177"/>
        <v>6271083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customHeight="1">
      <c r="A3182" s="204" t="str">
        <f>IF(B3182&lt;&gt;"",IF(AND(B3182&gt;=_TM1,B3182&lt;=_TM2,OR(TH!L3182="1111",TH!M3182="1111")),TH!D3182,""),"")</f>
        <v/>
      </c>
      <c r="B3182" s="36">
        <f t="shared" si="173"/>
        <v>7</v>
      </c>
      <c r="C3182" s="37">
        <f t="shared" si="176"/>
        <v>41105</v>
      </c>
      <c r="D3182" s="37" t="s">
        <v>1738</v>
      </c>
      <c r="E3182" s="191">
        <v>41105</v>
      </c>
      <c r="F3182" s="40" t="s">
        <v>1163</v>
      </c>
      <c r="G3182" s="40" t="s">
        <v>429</v>
      </c>
      <c r="H3182" s="7" t="s">
        <v>1706</v>
      </c>
      <c r="I3182" s="252">
        <v>1175</v>
      </c>
      <c r="J3182" s="252">
        <v>6117.5892381027061</v>
      </c>
      <c r="K3182" s="38">
        <f t="shared" si="177"/>
        <v>7188167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customHeight="1">
      <c r="A3183" s="204" t="str">
        <f>IF(B3183&lt;&gt;"",IF(AND(B3183&gt;=_TM1,B3183&lt;=_TM2,OR(TH!L3183="1111",TH!M3183="1111")),TH!D3183,""),"")</f>
        <v/>
      </c>
      <c r="B3183" s="36">
        <f t="shared" si="173"/>
        <v>7</v>
      </c>
      <c r="C3183" s="37">
        <f t="shared" si="176"/>
        <v>41105</v>
      </c>
      <c r="D3183" s="37" t="s">
        <v>1738</v>
      </c>
      <c r="E3183" s="191">
        <v>41105</v>
      </c>
      <c r="F3183" s="40" t="s">
        <v>1153</v>
      </c>
      <c r="G3183" s="40" t="s">
        <v>429</v>
      </c>
      <c r="H3183" s="7" t="s">
        <v>1706</v>
      </c>
      <c r="I3183" s="252">
        <v>996</v>
      </c>
      <c r="J3183" s="252">
        <v>4788.2425150402432</v>
      </c>
      <c r="K3183" s="38">
        <f t="shared" si="177"/>
        <v>4769090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customHeight="1">
      <c r="A3184" s="204" t="str">
        <f>IF(B3184&lt;&gt;"",IF(AND(B3184&gt;=_TM1,B3184&lt;=_TM2,OR(TH!L3184="1111",TH!M3184="1111")),TH!D3184,""),"")</f>
        <v/>
      </c>
      <c r="B3184" s="36">
        <f t="shared" si="157"/>
        <v>7</v>
      </c>
      <c r="C3184" s="37">
        <f t="shared" ref="C3184:C3247" si="178">E3184</f>
        <v>41105</v>
      </c>
      <c r="D3184" s="37" t="s">
        <v>1738</v>
      </c>
      <c r="E3184" s="191">
        <v>41105</v>
      </c>
      <c r="F3184" s="40" t="s">
        <v>1162</v>
      </c>
      <c r="G3184" s="40" t="s">
        <v>429</v>
      </c>
      <c r="H3184" s="7" t="s">
        <v>1706</v>
      </c>
      <c r="I3184" s="252">
        <v>1006</v>
      </c>
      <c r="J3184" s="252">
        <v>6238.3149519049994</v>
      </c>
      <c r="K3184" s="38">
        <f t="shared" ref="K3184:K3247" si="179">ROUND(I3184*J3184,0)</f>
        <v>6275745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6" ht="15.75" customHeight="1">
      <c r="A3185" s="204" t="str">
        <f>IF(B3185&lt;&gt;"",IF(AND(B3185&gt;=_TM1,B3185&lt;=_TM2,OR(TH!L3185="1111",TH!M3185="1111")),TH!D3185,""),"")</f>
        <v/>
      </c>
      <c r="B3185" s="36">
        <f t="shared" si="157"/>
        <v>7</v>
      </c>
      <c r="C3185" s="37">
        <f t="shared" si="178"/>
        <v>41105</v>
      </c>
      <c r="D3185" s="37" t="s">
        <v>1738</v>
      </c>
      <c r="E3185" s="191">
        <v>41105</v>
      </c>
      <c r="F3185" s="40" t="s">
        <v>1161</v>
      </c>
      <c r="G3185" s="40" t="s">
        <v>429</v>
      </c>
      <c r="H3185" s="7" t="s">
        <v>1706</v>
      </c>
      <c r="I3185" s="252">
        <v>1290</v>
      </c>
      <c r="J3185" s="252">
        <v>4776.9428419291944</v>
      </c>
      <c r="K3185" s="38">
        <f t="shared" si="179"/>
        <v>6162256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6" ht="15.75" customHeight="1">
      <c r="A3186" s="204" t="str">
        <f>IF(B3186&lt;&gt;"",IF(AND(B3186&gt;=_TM1,B3186&lt;=_TM2,OR(TH!L3186="1111",TH!M3186="1111")),TH!D3186,""),"")</f>
        <v/>
      </c>
      <c r="B3186" s="36">
        <f t="shared" si="157"/>
        <v>7</v>
      </c>
      <c r="C3186" s="37">
        <f t="shared" si="178"/>
        <v>41117</v>
      </c>
      <c r="D3186" s="37" t="s">
        <v>1738</v>
      </c>
      <c r="E3186" s="191">
        <v>41117</v>
      </c>
      <c r="F3186" s="40" t="s">
        <v>1160</v>
      </c>
      <c r="G3186" s="40" t="s">
        <v>1039</v>
      </c>
      <c r="H3186" s="7" t="s">
        <v>1706</v>
      </c>
      <c r="I3186" s="252">
        <v>615</v>
      </c>
      <c r="J3186" s="252">
        <v>7356.4158424964098</v>
      </c>
      <c r="K3186" s="38">
        <f t="shared" si="179"/>
        <v>4524196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6" ht="15.75" customHeight="1">
      <c r="A3187" s="204" t="str">
        <f>IF(B3187&lt;&gt;"",IF(AND(B3187&gt;=_TM1,B3187&lt;=_TM2,OR(TH!L3187="1111",TH!M3187="1111")),TH!D3187,""),"")</f>
        <v/>
      </c>
      <c r="B3187" s="36">
        <f t="shared" si="157"/>
        <v>7</v>
      </c>
      <c r="C3187" s="37">
        <f t="shared" si="178"/>
        <v>41117</v>
      </c>
      <c r="D3187" s="37" t="s">
        <v>1738</v>
      </c>
      <c r="E3187" s="191">
        <v>41117</v>
      </c>
      <c r="F3187" s="40" t="s">
        <v>1132</v>
      </c>
      <c r="G3187" s="40" t="s">
        <v>1039</v>
      </c>
      <c r="H3187" s="7" t="s">
        <v>1706</v>
      </c>
      <c r="I3187" s="252">
        <v>200</v>
      </c>
      <c r="J3187" s="252">
        <v>11759.029663634621</v>
      </c>
      <c r="K3187" s="38">
        <f t="shared" si="179"/>
        <v>2351806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6" ht="15.75" customHeight="1">
      <c r="A3188" s="204" t="str">
        <f>IF(B3188&lt;&gt;"",IF(AND(B3188&gt;=_TM1,B3188&lt;=_TM2,OR(TH!L3188="1111",TH!M3188="1111")),TH!D3188,""),"")</f>
        <v/>
      </c>
      <c r="B3188" s="36">
        <f t="shared" si="157"/>
        <v>7</v>
      </c>
      <c r="C3188" s="37">
        <f t="shared" si="178"/>
        <v>41117</v>
      </c>
      <c r="D3188" s="37" t="s">
        <v>1738</v>
      </c>
      <c r="E3188" s="191">
        <v>41117</v>
      </c>
      <c r="F3188" s="40" t="s">
        <v>1158</v>
      </c>
      <c r="G3188" s="40" t="s">
        <v>1040</v>
      </c>
      <c r="H3188" s="7" t="s">
        <v>1706</v>
      </c>
      <c r="I3188" s="252">
        <v>200</v>
      </c>
      <c r="J3188" s="252">
        <v>19634.429663634623</v>
      </c>
      <c r="K3188" s="38">
        <f t="shared" si="179"/>
        <v>3926886</v>
      </c>
      <c r="L3188" s="39" t="s">
        <v>183</v>
      </c>
      <c r="M3188" s="39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</row>
    <row r="3189" spans="1:26" ht="15.75" customHeight="1">
      <c r="A3189" s="204" t="str">
        <f>IF(B3189&lt;&gt;"",IF(AND(B3189&gt;=_TM1,B3189&lt;=_TM2,OR(TH!L3189="1111",TH!M3189="1111")),TH!D3189,""),"")</f>
        <v/>
      </c>
      <c r="B3189" s="36">
        <f t="shared" si="157"/>
        <v>7</v>
      </c>
      <c r="C3189" s="37">
        <f t="shared" si="178"/>
        <v>41117</v>
      </c>
      <c r="D3189" s="37" t="s">
        <v>1738</v>
      </c>
      <c r="E3189" s="191">
        <v>41117</v>
      </c>
      <c r="F3189" s="40" t="s">
        <v>1159</v>
      </c>
      <c r="G3189" s="40" t="s">
        <v>1040</v>
      </c>
      <c r="H3189" s="7" t="s">
        <v>1706</v>
      </c>
      <c r="I3189" s="252">
        <v>200</v>
      </c>
      <c r="J3189" s="252">
        <v>4394.9046636346202</v>
      </c>
      <c r="K3189" s="38">
        <f t="shared" si="179"/>
        <v>878981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</row>
    <row r="3190" spans="1:26" ht="15.75" customHeight="1">
      <c r="A3190" s="204" t="str">
        <f>IF(B3190&lt;&gt;"",IF(AND(B3190&gt;=_TM1,B3190&lt;=_TM2,OR(TH!L3190="1111",TH!M3190="1111")),TH!D3190,""),"")</f>
        <v/>
      </c>
      <c r="B3190" s="36">
        <f t="shared" si="157"/>
        <v>7</v>
      </c>
      <c r="C3190" s="37">
        <f t="shared" si="178"/>
        <v>41117</v>
      </c>
      <c r="D3190" s="37" t="s">
        <v>1738</v>
      </c>
      <c r="E3190" s="191">
        <v>41117</v>
      </c>
      <c r="F3190" s="40" t="s">
        <v>1157</v>
      </c>
      <c r="G3190" s="40" t="s">
        <v>430</v>
      </c>
      <c r="H3190" s="7" t="s">
        <v>1706</v>
      </c>
      <c r="I3190" s="252">
        <v>504</v>
      </c>
      <c r="J3190" s="252">
        <v>9436.1963303012872</v>
      </c>
      <c r="K3190" s="38">
        <f t="shared" si="179"/>
        <v>4755843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</row>
    <row r="3191" spans="1:26" ht="15.75" customHeight="1">
      <c r="A3191" s="204" t="str">
        <f>IF(B3191&lt;&gt;"",IF(AND(B3191&gt;=_TM1,B3191&lt;=_TM2,OR(TH!L3191="1111",TH!M3191="1111")),TH!D3191,""),"")</f>
        <v/>
      </c>
      <c r="B3191" s="36">
        <f t="shared" si="157"/>
        <v>7</v>
      </c>
      <c r="C3191" s="37">
        <f t="shared" si="178"/>
        <v>41118</v>
      </c>
      <c r="D3191" s="37" t="s">
        <v>1738</v>
      </c>
      <c r="E3191" s="191">
        <v>41118</v>
      </c>
      <c r="F3191" s="40" t="s">
        <v>551</v>
      </c>
      <c r="G3191" s="40" t="s">
        <v>1041</v>
      </c>
      <c r="H3191" s="7" t="s">
        <v>1706</v>
      </c>
      <c r="I3191" s="252">
        <v>500</v>
      </c>
      <c r="J3191" s="252">
        <v>2441.3576636346206</v>
      </c>
      <c r="K3191" s="38">
        <f t="shared" si="179"/>
        <v>1220679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</row>
    <row r="3192" spans="1:26" ht="15.75" customHeight="1">
      <c r="A3192" s="204" t="str">
        <f>IF(B3192&lt;&gt;"",IF(AND(B3192&gt;=_TM1,B3192&lt;=_TM2,OR(TH!L3192="1111",TH!M3192="1111")),TH!D3192,""),"")</f>
        <v/>
      </c>
      <c r="B3192" s="36">
        <f t="shared" si="157"/>
        <v>7</v>
      </c>
      <c r="C3192" s="37">
        <f t="shared" si="178"/>
        <v>41118</v>
      </c>
      <c r="D3192" s="37" t="s">
        <v>1738</v>
      </c>
      <c r="E3192" s="191">
        <v>41118</v>
      </c>
      <c r="F3192" s="40" t="s">
        <v>1499</v>
      </c>
      <c r="G3192" s="40" t="s">
        <v>1043</v>
      </c>
      <c r="H3192" s="7" t="s">
        <v>1706</v>
      </c>
      <c r="I3192" s="252">
        <v>121</v>
      </c>
      <c r="J3192" s="252">
        <v>5251.4552834693313</v>
      </c>
      <c r="K3192" s="38">
        <f t="shared" si="179"/>
        <v>635426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</row>
    <row r="3193" spans="1:26" ht="15.75" customHeight="1">
      <c r="A3193" s="204" t="str">
        <f>IF(B3193&lt;&gt;"",IF(AND(B3193&gt;=_TM1,B3193&lt;=_TM2,OR(TH!L3193="1111",TH!M3193="1111")),TH!D3193,""),"")</f>
        <v/>
      </c>
      <c r="B3193" s="36">
        <f t="shared" si="157"/>
        <v>7</v>
      </c>
      <c r="C3193" s="37">
        <f t="shared" si="178"/>
        <v>41118</v>
      </c>
      <c r="D3193" s="37" t="s">
        <v>1738</v>
      </c>
      <c r="E3193" s="191">
        <v>41118</v>
      </c>
      <c r="F3193" s="40" t="s">
        <v>1533</v>
      </c>
      <c r="G3193" s="40" t="s">
        <v>1043</v>
      </c>
      <c r="H3193" s="7" t="s">
        <v>1706</v>
      </c>
      <c r="I3193" s="252">
        <v>152</v>
      </c>
      <c r="J3193" s="252">
        <v>6449.2401899504111</v>
      </c>
      <c r="K3193" s="38">
        <f t="shared" si="179"/>
        <v>980285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</row>
    <row r="3194" spans="1:26" ht="15.75" customHeight="1">
      <c r="A3194" s="204" t="str">
        <f>IF(B3194&lt;&gt;"",IF(AND(B3194&gt;=_TM1,B3194&lt;=_TM2,OR(TH!L3194="1111",TH!M3194="1111")),TH!D3194,""),"")</f>
        <v/>
      </c>
      <c r="B3194" s="36">
        <f t="shared" si="157"/>
        <v>7</v>
      </c>
      <c r="C3194" s="37">
        <f t="shared" si="178"/>
        <v>41118</v>
      </c>
      <c r="D3194" s="37" t="s">
        <v>1738</v>
      </c>
      <c r="E3194" s="191">
        <v>41118</v>
      </c>
      <c r="F3194" s="40" t="s">
        <v>1497</v>
      </c>
      <c r="G3194" s="40" t="s">
        <v>1043</v>
      </c>
      <c r="H3194" s="7" t="s">
        <v>1706</v>
      </c>
      <c r="I3194" s="252">
        <v>74</v>
      </c>
      <c r="J3194" s="252">
        <v>7349.0161501211069</v>
      </c>
      <c r="K3194" s="38">
        <f t="shared" si="179"/>
        <v>543827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</row>
    <row r="3195" spans="1:26" ht="15.75" customHeight="1">
      <c r="A3195" s="204" t="str">
        <f>IF(B3195&lt;&gt;"",IF(AND(B3195&gt;=_TM1,B3195&lt;=_TM2,OR(TH!L3195="1111",TH!M3195="1111")),TH!D3195,""),"")</f>
        <v/>
      </c>
      <c r="B3195" s="36">
        <f t="shared" si="157"/>
        <v>7</v>
      </c>
      <c r="C3195" s="37">
        <f t="shared" si="178"/>
        <v>41118</v>
      </c>
      <c r="D3195" s="37" t="s">
        <v>1738</v>
      </c>
      <c r="E3195" s="191">
        <v>41118</v>
      </c>
      <c r="F3195" s="40" t="s">
        <v>1501</v>
      </c>
      <c r="G3195" s="40" t="s">
        <v>1043</v>
      </c>
      <c r="H3195" s="7" t="s">
        <v>1706</v>
      </c>
      <c r="I3195" s="252">
        <v>125</v>
      </c>
      <c r="J3195" s="252">
        <v>7811.9696636346207</v>
      </c>
      <c r="K3195" s="38">
        <f t="shared" si="179"/>
        <v>976496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</row>
    <row r="3196" spans="1:26" ht="15.75" customHeight="1">
      <c r="A3196" s="204" t="str">
        <f>IF(B3196&lt;&gt;"",IF(AND(B3196&gt;=_TM1,B3196&lt;=_TM2,OR(TH!L3196="1111",TH!M3196="1111")),TH!D3196,""),"")</f>
        <v/>
      </c>
      <c r="B3196" s="36">
        <f t="shared" si="157"/>
        <v>7</v>
      </c>
      <c r="C3196" s="37">
        <f t="shared" si="178"/>
        <v>41118</v>
      </c>
      <c r="D3196" s="37" t="s">
        <v>1738</v>
      </c>
      <c r="E3196" s="191">
        <v>41118</v>
      </c>
      <c r="F3196" s="40" t="s">
        <v>1534</v>
      </c>
      <c r="G3196" s="40" t="s">
        <v>1043</v>
      </c>
      <c r="H3196" s="7" t="s">
        <v>1706</v>
      </c>
      <c r="I3196" s="252">
        <v>40</v>
      </c>
      <c r="J3196" s="252">
        <v>9113.0296636346211</v>
      </c>
      <c r="K3196" s="38">
        <f t="shared" si="179"/>
        <v>364521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</row>
    <row r="3197" spans="1:26" ht="15.75" customHeight="1">
      <c r="A3197" s="204" t="str">
        <f>IF(B3197&lt;&gt;"",IF(AND(B3197&gt;=_TM1,B3197&lt;=_TM2,OR(TH!L3197="1111",TH!M3197="1111")),TH!D3197,""),"")</f>
        <v/>
      </c>
      <c r="B3197" s="36">
        <f t="shared" si="157"/>
        <v>7</v>
      </c>
      <c r="C3197" s="37">
        <f t="shared" si="178"/>
        <v>41118</v>
      </c>
      <c r="D3197" s="37" t="s">
        <v>1738</v>
      </c>
      <c r="E3197" s="191">
        <v>41118</v>
      </c>
      <c r="F3197" s="40" t="s">
        <v>1527</v>
      </c>
      <c r="G3197" s="40" t="s">
        <v>1043</v>
      </c>
      <c r="H3197" s="7" t="s">
        <v>1706</v>
      </c>
      <c r="I3197" s="252">
        <v>15</v>
      </c>
      <c r="J3197" s="252">
        <v>12431.262996967956</v>
      </c>
      <c r="K3197" s="38">
        <f t="shared" si="179"/>
        <v>186469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</row>
    <row r="3198" spans="1:26" ht="15.75" customHeight="1">
      <c r="A3198" s="204" t="str">
        <f>IF(B3198&lt;&gt;"",IF(AND(B3198&gt;=_TM1,B3198&lt;=_TM2,OR(TH!L3198="1111",TH!M3198="1111")),TH!D3198,""),"")</f>
        <v/>
      </c>
      <c r="B3198" s="36">
        <f t="shared" si="157"/>
        <v>7</v>
      </c>
      <c r="C3198" s="37">
        <f t="shared" si="178"/>
        <v>41118</v>
      </c>
      <c r="D3198" s="37" t="s">
        <v>1738</v>
      </c>
      <c r="E3198" s="191">
        <v>41118</v>
      </c>
      <c r="F3198" s="40" t="s">
        <v>1503</v>
      </c>
      <c r="G3198" s="40" t="s">
        <v>1043</v>
      </c>
      <c r="H3198" s="7" t="s">
        <v>1706</v>
      </c>
      <c r="I3198" s="252">
        <v>75</v>
      </c>
      <c r="J3198" s="252">
        <v>7535.3296636346213</v>
      </c>
      <c r="K3198" s="38">
        <f t="shared" si="179"/>
        <v>565150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</row>
    <row r="3199" spans="1:26" ht="15.75" customHeight="1">
      <c r="A3199" s="204" t="str">
        <f>IF(B3199&lt;&gt;"",IF(AND(B3199&gt;=_TM1,B3199&lt;=_TM2,OR(TH!L3199="1111",TH!M3199="1111")),TH!D3199,""),"")</f>
        <v/>
      </c>
      <c r="B3199" s="36">
        <f t="shared" si="157"/>
        <v>7</v>
      </c>
      <c r="C3199" s="37">
        <f t="shared" si="178"/>
        <v>41118</v>
      </c>
      <c r="D3199" s="37" t="s">
        <v>1738</v>
      </c>
      <c r="E3199" s="191">
        <v>41118</v>
      </c>
      <c r="F3199" s="40" t="s">
        <v>1512</v>
      </c>
      <c r="G3199" s="40" t="s">
        <v>1043</v>
      </c>
      <c r="H3199" s="7" t="s">
        <v>1706</v>
      </c>
      <c r="I3199" s="252">
        <v>102</v>
      </c>
      <c r="J3199" s="252">
        <v>9113.0296636346211</v>
      </c>
      <c r="K3199" s="38">
        <f t="shared" si="179"/>
        <v>929529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</row>
    <row r="3200" spans="1:26" ht="15.75" customHeight="1">
      <c r="A3200" s="204" t="str">
        <f>IF(B3200&lt;&gt;"",IF(AND(B3200&gt;=_TM1,B3200&lt;=_TM2,OR(TH!L3200="1111",TH!M3200="1111")),TH!D3200,""),"")</f>
        <v/>
      </c>
      <c r="B3200" s="36">
        <f t="shared" si="157"/>
        <v>7</v>
      </c>
      <c r="C3200" s="37">
        <f t="shared" si="178"/>
        <v>41121</v>
      </c>
      <c r="D3200" s="37" t="s">
        <v>1738</v>
      </c>
      <c r="E3200" s="191">
        <v>41121</v>
      </c>
      <c r="F3200" s="40" t="s">
        <v>1121</v>
      </c>
      <c r="G3200" s="40" t="s">
        <v>1044</v>
      </c>
      <c r="H3200" s="7" t="s">
        <v>1706</v>
      </c>
      <c r="I3200" s="252">
        <v>890</v>
      </c>
      <c r="J3200" s="252">
        <v>6751.4173040840587</v>
      </c>
      <c r="K3200" s="38">
        <f t="shared" si="179"/>
        <v>6008761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</row>
    <row r="3201" spans="1:26" ht="15.75" customHeight="1">
      <c r="A3201" s="204" t="str">
        <f>IF(B3201&lt;&gt;"",IF(AND(B3201&gt;=_TM1,B3201&lt;=_TM2,OR(TH!L3201="1111",TH!M3201="1111")),TH!D3201,""),"")</f>
        <v/>
      </c>
      <c r="B3201" s="36">
        <f t="shared" si="157"/>
        <v>8</v>
      </c>
      <c r="C3201" s="37">
        <f t="shared" si="178"/>
        <v>41122</v>
      </c>
      <c r="D3201" s="37" t="s">
        <v>1738</v>
      </c>
      <c r="E3201" s="191">
        <v>41122</v>
      </c>
      <c r="F3201" s="40" t="s">
        <v>1069</v>
      </c>
      <c r="G3201" s="40" t="s">
        <v>1045</v>
      </c>
      <c r="H3201" s="7" t="s">
        <v>1706</v>
      </c>
      <c r="I3201" s="252">
        <v>75</v>
      </c>
      <c r="J3201" s="252">
        <v>5378.1296636346206</v>
      </c>
      <c r="K3201" s="38">
        <f t="shared" si="179"/>
        <v>403360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</row>
    <row r="3202" spans="1:26" ht="15.75" customHeight="1">
      <c r="A3202" s="204" t="str">
        <f>IF(B3202&lt;&gt;"",IF(AND(B3202&gt;=_TM1,B3202&lt;=_TM2,OR(TH!L3202="1111",TH!M3202="1111")),TH!D3202,""),"")</f>
        <v/>
      </c>
      <c r="B3202" s="36">
        <f t="shared" si="157"/>
        <v>8</v>
      </c>
      <c r="C3202" s="37">
        <f t="shared" si="178"/>
        <v>41122</v>
      </c>
      <c r="D3202" s="37" t="s">
        <v>1738</v>
      </c>
      <c r="E3202" s="191">
        <v>41122</v>
      </c>
      <c r="F3202" s="40" t="s">
        <v>1070</v>
      </c>
      <c r="G3202" s="40" t="s">
        <v>1045</v>
      </c>
      <c r="H3202" s="7" t="s">
        <v>1706</v>
      </c>
      <c r="I3202" s="252">
        <v>92</v>
      </c>
      <c r="J3202" s="252">
        <v>6084.0514027650552</v>
      </c>
      <c r="K3202" s="38">
        <f t="shared" si="179"/>
        <v>559733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</row>
    <row r="3203" spans="1:26" ht="15.75" customHeight="1">
      <c r="A3203" s="204" t="str">
        <f>IF(B3203&lt;&gt;"",IF(AND(B3203&gt;=_TM1,B3203&lt;=_TM2,OR(TH!L3203="1111",TH!M3203="1111")),TH!D3203,""),"")</f>
        <v/>
      </c>
      <c r="B3203" s="36">
        <f t="shared" si="157"/>
        <v>8</v>
      </c>
      <c r="C3203" s="37">
        <f t="shared" si="178"/>
        <v>41124</v>
      </c>
      <c r="D3203" s="37" t="s">
        <v>1738</v>
      </c>
      <c r="E3203" s="191">
        <v>41124</v>
      </c>
      <c r="F3203" s="40" t="s">
        <v>1155</v>
      </c>
      <c r="G3203" s="40" t="s">
        <v>1046</v>
      </c>
      <c r="H3203" s="7" t="s">
        <v>1706</v>
      </c>
      <c r="I3203" s="252">
        <v>1000</v>
      </c>
      <c r="J3203" s="252">
        <v>16734.529663634621</v>
      </c>
      <c r="K3203" s="38">
        <f t="shared" si="179"/>
        <v>16734530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6" ht="15.75" customHeight="1">
      <c r="A3204" s="204" t="str">
        <f>IF(B3204&lt;&gt;"",IF(AND(B3204&gt;=_TM1,B3204&lt;=_TM2,OR(TH!L3204="1111",TH!M3204="1111")),TH!D3204,""),"")</f>
        <v/>
      </c>
      <c r="B3204" s="36">
        <f t="shared" si="157"/>
        <v>8</v>
      </c>
      <c r="C3204" s="37">
        <f t="shared" si="178"/>
        <v>41125</v>
      </c>
      <c r="D3204" s="37" t="s">
        <v>1738</v>
      </c>
      <c r="E3204" s="191">
        <v>41125</v>
      </c>
      <c r="F3204" s="40" t="s">
        <v>1155</v>
      </c>
      <c r="G3204" s="40" t="s">
        <v>1047</v>
      </c>
      <c r="H3204" s="7" t="s">
        <v>1706</v>
      </c>
      <c r="I3204" s="252">
        <v>520</v>
      </c>
      <c r="J3204" s="252">
        <v>15542.683509788467</v>
      </c>
      <c r="K3204" s="38">
        <f t="shared" si="179"/>
        <v>8082195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6" ht="15.75" customHeight="1">
      <c r="A3205" s="204" t="str">
        <f>IF(B3205&lt;&gt;"",IF(AND(B3205&gt;=_TM1,B3205&lt;=_TM2,OR(TH!L3205="1111",TH!M3205="1111")),TH!D3205,""),"")</f>
        <v/>
      </c>
      <c r="B3205" s="36">
        <f t="shared" si="157"/>
        <v>8</v>
      </c>
      <c r="C3205" s="37">
        <f t="shared" si="178"/>
        <v>41125</v>
      </c>
      <c r="D3205" s="37" t="s">
        <v>1738</v>
      </c>
      <c r="E3205" s="191">
        <v>41125</v>
      </c>
      <c r="F3205" s="40" t="s">
        <v>1152</v>
      </c>
      <c r="G3205" s="40" t="s">
        <v>1048</v>
      </c>
      <c r="H3205" s="7" t="s">
        <v>1706</v>
      </c>
      <c r="I3205" s="252">
        <v>993</v>
      </c>
      <c r="J3205" s="252">
        <v>4797.2476898179038</v>
      </c>
      <c r="K3205" s="38">
        <f t="shared" si="179"/>
        <v>4763667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6" ht="15.75" customHeight="1">
      <c r="A3206" s="204" t="str">
        <f>IF(B3206&lt;&gt;"",IF(AND(B3206&gt;=_TM1,B3206&lt;=_TM2,OR(TH!L3206="1111",TH!M3206="1111")),TH!D3206,""),"")</f>
        <v/>
      </c>
      <c r="B3206" s="36">
        <f t="shared" si="157"/>
        <v>8</v>
      </c>
      <c r="C3206" s="37">
        <f t="shared" si="178"/>
        <v>41125</v>
      </c>
      <c r="D3206" s="37" t="s">
        <v>1738</v>
      </c>
      <c r="E3206" s="191">
        <v>41125</v>
      </c>
      <c r="F3206" s="40" t="s">
        <v>1153</v>
      </c>
      <c r="G3206" s="40" t="s">
        <v>1048</v>
      </c>
      <c r="H3206" s="7" t="s">
        <v>1706</v>
      </c>
      <c r="I3206" s="252">
        <v>1030</v>
      </c>
      <c r="J3206" s="252">
        <v>4854.7432558676301</v>
      </c>
      <c r="K3206" s="38">
        <f t="shared" si="179"/>
        <v>5000386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6" ht="15.75" customHeight="1">
      <c r="A3207" s="204" t="str">
        <f>IF(B3207&lt;&gt;"",IF(AND(B3207&gt;=_TM1,B3207&lt;=_TM2,OR(TH!L3207="1111",TH!M3207="1111")),TH!D3207,""),"")</f>
        <v/>
      </c>
      <c r="B3207" s="36">
        <f t="shared" si="157"/>
        <v>8</v>
      </c>
      <c r="C3207" s="37">
        <f t="shared" si="178"/>
        <v>41125</v>
      </c>
      <c r="D3207" s="37" t="s">
        <v>1738</v>
      </c>
      <c r="E3207" s="191">
        <v>41125</v>
      </c>
      <c r="F3207" s="40" t="s">
        <v>1154</v>
      </c>
      <c r="G3207" s="40" t="s">
        <v>1048</v>
      </c>
      <c r="H3207" s="7" t="s">
        <v>1706</v>
      </c>
      <c r="I3207" s="252">
        <v>1010</v>
      </c>
      <c r="J3207" s="252">
        <v>6996.9950101692748</v>
      </c>
      <c r="K3207" s="38">
        <f t="shared" si="179"/>
        <v>7066965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6" ht="15.75" customHeight="1">
      <c r="A3208" s="204" t="str">
        <f>IF(B3208&lt;&gt;"",IF(AND(B3208&gt;=_TM1,B3208&lt;=_TM2,OR(TH!L3208="1111",TH!M3208="1111")),TH!D3208,""),"")</f>
        <v/>
      </c>
      <c r="B3208" s="36">
        <f t="shared" si="157"/>
        <v>8</v>
      </c>
      <c r="C3208" s="37">
        <f t="shared" si="178"/>
        <v>41128</v>
      </c>
      <c r="D3208" s="37" t="s">
        <v>1738</v>
      </c>
      <c r="E3208" s="191">
        <v>41128</v>
      </c>
      <c r="F3208" s="40" t="s">
        <v>1138</v>
      </c>
      <c r="G3208" s="40" t="s">
        <v>1049</v>
      </c>
      <c r="H3208" s="7" t="s">
        <v>1706</v>
      </c>
      <c r="I3208" s="252">
        <v>1025</v>
      </c>
      <c r="J3208" s="252">
        <v>6301.4564929029139</v>
      </c>
      <c r="K3208" s="38">
        <f t="shared" si="179"/>
        <v>6458993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6" ht="15.75" customHeight="1">
      <c r="A3209" s="204" t="str">
        <f>IF(B3209&lt;&gt;"",IF(AND(B3209&gt;=_TM1,B3209&lt;=_TM2,OR(TH!L3209="1111",TH!M3209="1111")),TH!D3209,""),"")</f>
        <v/>
      </c>
      <c r="B3209" s="36">
        <f t="shared" si="157"/>
        <v>8</v>
      </c>
      <c r="C3209" s="37">
        <f t="shared" si="178"/>
        <v>41129</v>
      </c>
      <c r="D3209" s="37" t="s">
        <v>1738</v>
      </c>
      <c r="E3209" s="191">
        <v>41129</v>
      </c>
      <c r="F3209" s="40" t="s">
        <v>1121</v>
      </c>
      <c r="G3209" s="40" t="s">
        <v>1050</v>
      </c>
      <c r="H3209" s="7" t="s">
        <v>1706</v>
      </c>
      <c r="I3209" s="252">
        <v>514</v>
      </c>
      <c r="J3209" s="252">
        <v>8259.222270638511</v>
      </c>
      <c r="K3209" s="38">
        <f t="shared" si="179"/>
        <v>4245240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6" ht="15.75" customHeight="1">
      <c r="A3210" s="204" t="str">
        <f>IF(B3210&lt;&gt;"",IF(AND(B3210&gt;=_TM1,B3210&lt;=_TM2,OR(TH!L3210="1111",TH!M3210="1111")),TH!D3210,""),"")</f>
        <v/>
      </c>
      <c r="B3210" s="36">
        <f t="shared" si="157"/>
        <v>8</v>
      </c>
      <c r="C3210" s="37">
        <f t="shared" si="178"/>
        <v>41129</v>
      </c>
      <c r="D3210" s="37" t="s">
        <v>1738</v>
      </c>
      <c r="E3210" s="191">
        <v>41129</v>
      </c>
      <c r="F3210" s="40" t="s">
        <v>1132</v>
      </c>
      <c r="G3210" s="40" t="s">
        <v>1050</v>
      </c>
      <c r="H3210" s="7" t="s">
        <v>1706</v>
      </c>
      <c r="I3210" s="252">
        <v>794</v>
      </c>
      <c r="J3210" s="252">
        <v>11832.756363886509</v>
      </c>
      <c r="K3210" s="38">
        <f t="shared" si="179"/>
        <v>9395209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6" ht="15.75" customHeight="1">
      <c r="A3211" s="204" t="str">
        <f>IF(B3211&lt;&gt;"",IF(AND(B3211&gt;=_TM1,B3211&lt;=_TM2,OR(TH!L3211="1111",TH!M3211="1111")),TH!D3211,""),"")</f>
        <v/>
      </c>
      <c r="B3211" s="36">
        <f t="shared" si="157"/>
        <v>8</v>
      </c>
      <c r="C3211" s="37">
        <f t="shared" si="178"/>
        <v>41129</v>
      </c>
      <c r="D3211" s="37" t="s">
        <v>1738</v>
      </c>
      <c r="E3211" s="191">
        <v>41129</v>
      </c>
      <c r="F3211" s="40" t="s">
        <v>1151</v>
      </c>
      <c r="G3211" s="40" t="s">
        <v>673</v>
      </c>
      <c r="H3211" s="7" t="s">
        <v>1706</v>
      </c>
      <c r="I3211" s="252">
        <v>920</v>
      </c>
      <c r="J3211" s="252">
        <v>4812.055750591142</v>
      </c>
      <c r="K3211" s="38">
        <f t="shared" si="179"/>
        <v>4427091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6" ht="15.75" customHeight="1">
      <c r="A3212" s="204" t="str">
        <f>IF(B3212&lt;&gt;"",IF(AND(B3212&gt;=_TM1,B3212&lt;=_TM2,OR(TH!L3212="1111",TH!M3212="1111")),TH!D3212,""),"")</f>
        <v/>
      </c>
      <c r="B3212" s="36">
        <f t="shared" si="157"/>
        <v>8</v>
      </c>
      <c r="C3212" s="37">
        <f t="shared" si="178"/>
        <v>41136</v>
      </c>
      <c r="D3212" s="37" t="s">
        <v>1738</v>
      </c>
      <c r="E3212" s="191">
        <v>41136</v>
      </c>
      <c r="F3212" s="297" t="s">
        <v>1157</v>
      </c>
      <c r="G3212" s="40" t="s">
        <v>1051</v>
      </c>
      <c r="H3212" s="7" t="s">
        <v>1706</v>
      </c>
      <c r="I3212" s="252">
        <v>1024</v>
      </c>
      <c r="J3212" s="252">
        <v>9624.9417730096229</v>
      </c>
      <c r="K3212" s="38">
        <f t="shared" si="179"/>
        <v>9855940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6" ht="15.75" customHeight="1">
      <c r="A3213" s="204" t="str">
        <f>IF(B3213&lt;&gt;"",IF(AND(B3213&gt;=_TM1,B3213&lt;=_TM2,OR(TH!L3213="1111",TH!M3213="1111")),TH!D3213,""),"")</f>
        <v/>
      </c>
      <c r="B3213" s="36">
        <f t="shared" si="157"/>
        <v>8</v>
      </c>
      <c r="C3213" s="37">
        <f t="shared" si="178"/>
        <v>41137</v>
      </c>
      <c r="D3213" s="37" t="s">
        <v>1738</v>
      </c>
      <c r="E3213" s="191">
        <v>41137</v>
      </c>
      <c r="F3213" s="40" t="s">
        <v>1145</v>
      </c>
      <c r="G3213" s="40" t="s">
        <v>1052</v>
      </c>
      <c r="H3213" s="7" t="s">
        <v>1706</v>
      </c>
      <c r="I3213" s="252">
        <v>507</v>
      </c>
      <c r="J3213" s="252">
        <v>9734.2850876977373</v>
      </c>
      <c r="K3213" s="38">
        <f t="shared" si="179"/>
        <v>4935283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6" ht="15.75" customHeight="1">
      <c r="A3214" s="204" t="str">
        <f>IF(B3214&lt;&gt;"",IF(AND(B3214&gt;=_TM1,B3214&lt;=_TM2,OR(TH!L3214="1111",TH!M3214="1111")),TH!D3214,""),"")</f>
        <v/>
      </c>
      <c r="B3214" s="36">
        <f t="shared" si="157"/>
        <v>8</v>
      </c>
      <c r="C3214" s="37">
        <f t="shared" si="178"/>
        <v>41137</v>
      </c>
      <c r="D3214" s="37" t="s">
        <v>1738</v>
      </c>
      <c r="E3214" s="191">
        <v>41137</v>
      </c>
      <c r="F3214" s="40" t="s">
        <v>1150</v>
      </c>
      <c r="G3214" s="40" t="s">
        <v>1052</v>
      </c>
      <c r="H3214" s="7" t="s">
        <v>1706</v>
      </c>
      <c r="I3214" s="252">
        <v>203</v>
      </c>
      <c r="J3214" s="252">
        <v>5472.3572498415169</v>
      </c>
      <c r="K3214" s="38">
        <f t="shared" si="179"/>
        <v>1110889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6" ht="15.75" customHeight="1">
      <c r="A3215" s="204" t="str">
        <f>IF(B3215&lt;&gt;"",IF(AND(B3215&gt;=_TM1,B3215&lt;=_TM2,OR(TH!L3215="1111",TH!M3215="1111")),TH!D3215,""),"")</f>
        <v/>
      </c>
      <c r="B3215" s="36">
        <f t="shared" si="157"/>
        <v>8</v>
      </c>
      <c r="C3215" s="37">
        <f t="shared" si="178"/>
        <v>41137</v>
      </c>
      <c r="D3215" s="37" t="s">
        <v>1738</v>
      </c>
      <c r="E3215" s="191">
        <v>41137</v>
      </c>
      <c r="F3215" s="40" t="s">
        <v>1053</v>
      </c>
      <c r="G3215" s="40" t="s">
        <v>1054</v>
      </c>
      <c r="H3215" s="7" t="s">
        <v>1706</v>
      </c>
      <c r="I3215" s="252">
        <v>3903</v>
      </c>
      <c r="J3215" s="252">
        <v>5189.9111650437926</v>
      </c>
      <c r="K3215" s="38">
        <f t="shared" si="179"/>
        <v>20256223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6" ht="15.75" customHeight="1">
      <c r="A3216" s="204" t="str">
        <f>IF(B3216&lt;&gt;"",IF(AND(B3216&gt;=_TM1,B3216&lt;=_TM2,OR(TH!L3216="1111",TH!M3216="1111")),TH!D3216,""),"")</f>
        <v/>
      </c>
      <c r="B3216" s="36">
        <f t="shared" si="157"/>
        <v>8</v>
      </c>
      <c r="C3216" s="37">
        <f t="shared" si="178"/>
        <v>41137</v>
      </c>
      <c r="D3216" s="37" t="s">
        <v>1738</v>
      </c>
      <c r="E3216" s="191">
        <v>41137</v>
      </c>
      <c r="F3216" s="40" t="s">
        <v>1055</v>
      </c>
      <c r="G3216" s="40" t="s">
        <v>1054</v>
      </c>
      <c r="H3216" s="7" t="s">
        <v>1706</v>
      </c>
      <c r="I3216" s="252">
        <v>3010</v>
      </c>
      <c r="J3216" s="252">
        <v>5924.7854775881087</v>
      </c>
      <c r="K3216" s="38">
        <f t="shared" si="179"/>
        <v>17833604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customHeight="1">
      <c r="A3217" s="204" t="str">
        <f>IF(B3217&lt;&gt;"",IF(AND(B3217&gt;=_TM1,B3217&lt;=_TM2,OR(TH!L3217="1111",TH!M3217="1111")),TH!D3217,""),"")</f>
        <v/>
      </c>
      <c r="B3217" s="36">
        <f t="shared" si="157"/>
        <v>8</v>
      </c>
      <c r="C3217" s="37">
        <f t="shared" si="178"/>
        <v>41137</v>
      </c>
      <c r="D3217" s="37" t="s">
        <v>1738</v>
      </c>
      <c r="E3217" s="191">
        <v>41137</v>
      </c>
      <c r="F3217" s="40" t="s">
        <v>1056</v>
      </c>
      <c r="G3217" s="40" t="s">
        <v>1054</v>
      </c>
      <c r="H3217" s="7" t="s">
        <v>1706</v>
      </c>
      <c r="I3217" s="252">
        <v>310</v>
      </c>
      <c r="J3217" s="252">
        <v>5819.0328894410723</v>
      </c>
      <c r="K3217" s="38">
        <f t="shared" si="179"/>
        <v>1803900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customHeight="1">
      <c r="A3218" s="204" t="str">
        <f>IF(B3218&lt;&gt;"",IF(AND(B3218&gt;=_TM1,B3218&lt;=_TM2,OR(TH!L3218="1111",TH!M3218="1111")),TH!D3218,""),"")</f>
        <v/>
      </c>
      <c r="B3218" s="36">
        <f t="shared" si="157"/>
        <v>8</v>
      </c>
      <c r="C3218" s="37">
        <f t="shared" si="178"/>
        <v>41137</v>
      </c>
      <c r="D3218" s="37" t="s">
        <v>1738</v>
      </c>
      <c r="E3218" s="191">
        <v>41137</v>
      </c>
      <c r="F3218" s="40" t="s">
        <v>1057</v>
      </c>
      <c r="G3218" s="40" t="s">
        <v>1054</v>
      </c>
      <c r="H3218" s="7" t="s">
        <v>1706</v>
      </c>
      <c r="I3218" s="252">
        <v>252</v>
      </c>
      <c r="J3218" s="252">
        <v>5436.2598223647801</v>
      </c>
      <c r="K3218" s="38">
        <f t="shared" si="179"/>
        <v>1369937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customHeight="1">
      <c r="A3219" s="204" t="str">
        <f>IF(B3219&lt;&gt;"",IF(AND(B3219&gt;=_TM1,B3219&lt;=_TM2,OR(TH!L3219="1111",TH!M3219="1111")),TH!D3219,""),"")</f>
        <v/>
      </c>
      <c r="B3219" s="36">
        <f t="shared" si="157"/>
        <v>8</v>
      </c>
      <c r="C3219" s="37">
        <f t="shared" si="178"/>
        <v>41150</v>
      </c>
      <c r="D3219" s="37" t="s">
        <v>1738</v>
      </c>
      <c r="E3219" s="191">
        <v>41150</v>
      </c>
      <c r="F3219" s="40" t="s">
        <v>1114</v>
      </c>
      <c r="G3219" s="40" t="s">
        <v>1058</v>
      </c>
      <c r="H3219" s="7" t="s">
        <v>1706</v>
      </c>
      <c r="I3219" s="252">
        <v>3060</v>
      </c>
      <c r="J3219" s="252">
        <v>13501.379336837235</v>
      </c>
      <c r="K3219" s="38">
        <f t="shared" si="179"/>
        <v>41314221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customHeight="1">
      <c r="A3220" s="204" t="str">
        <f>IF(B3220&lt;&gt;"",IF(AND(B3220&gt;=_TM1,B3220&lt;=_TM2,OR(TH!L3220="1111",TH!M3220="1111")),TH!D3220,""),"")</f>
        <v/>
      </c>
      <c r="B3220" s="36">
        <f t="shared" si="157"/>
        <v>8</v>
      </c>
      <c r="C3220" s="37">
        <f t="shared" si="178"/>
        <v>41150</v>
      </c>
      <c r="D3220" s="37" t="s">
        <v>1738</v>
      </c>
      <c r="E3220" s="191">
        <v>41150</v>
      </c>
      <c r="F3220" s="40" t="s">
        <v>1149</v>
      </c>
      <c r="G3220" s="40" t="s">
        <v>431</v>
      </c>
      <c r="H3220" s="7" t="s">
        <v>1706</v>
      </c>
      <c r="I3220" s="252">
        <v>303</v>
      </c>
      <c r="J3220" s="252">
        <v>15345.829993667621</v>
      </c>
      <c r="K3220" s="38">
        <f t="shared" si="179"/>
        <v>4649786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customHeight="1">
      <c r="A3221" s="204" t="str">
        <f>IF(B3221&lt;&gt;"",IF(AND(B3221&gt;=_TM1,B3221&lt;=_TM2,OR(TH!L3221="1111",TH!M3221="1111")),TH!D3221,""),"")</f>
        <v/>
      </c>
      <c r="B3221" s="36">
        <f t="shared" si="157"/>
        <v>8</v>
      </c>
      <c r="C3221" s="37">
        <f t="shared" si="178"/>
        <v>41150</v>
      </c>
      <c r="D3221" s="37" t="s">
        <v>1738</v>
      </c>
      <c r="E3221" s="191">
        <v>41150</v>
      </c>
      <c r="F3221" s="40" t="s">
        <v>1148</v>
      </c>
      <c r="G3221" s="40" t="s">
        <v>431</v>
      </c>
      <c r="H3221" s="7" t="s">
        <v>1706</v>
      </c>
      <c r="I3221" s="252">
        <v>303</v>
      </c>
      <c r="J3221" s="252">
        <v>14290.318442512509</v>
      </c>
      <c r="K3221" s="38">
        <f t="shared" si="179"/>
        <v>4329966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customHeight="1">
      <c r="A3222" s="204" t="str">
        <f>IF(B3222&lt;&gt;"",IF(AND(B3222&gt;=_TM1,B3222&lt;=_TM2,OR(TH!L3222="1111",TH!M3222="1111")),TH!D3222,""),"")</f>
        <v/>
      </c>
      <c r="B3222" s="36">
        <f t="shared" si="157"/>
        <v>9</v>
      </c>
      <c r="C3222" s="37">
        <f t="shared" si="178"/>
        <v>41153</v>
      </c>
      <c r="D3222" s="37" t="s">
        <v>1738</v>
      </c>
      <c r="E3222" s="191">
        <v>41153</v>
      </c>
      <c r="F3222" s="40" t="s">
        <v>1125</v>
      </c>
      <c r="G3222" s="40" t="s">
        <v>1059</v>
      </c>
      <c r="H3222" s="7" t="s">
        <v>1706</v>
      </c>
      <c r="I3222" s="252">
        <v>1060</v>
      </c>
      <c r="J3222" s="252">
        <v>7147.2796636346211</v>
      </c>
      <c r="K3222" s="38">
        <f t="shared" si="179"/>
        <v>7576116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customHeight="1">
      <c r="A3223" s="204" t="str">
        <f>IF(B3223&lt;&gt;"",IF(AND(B3223&gt;=_TM1,B3223&lt;=_TM2,OR(TH!L3223="1111",TH!M3223="1111")),TH!D3223,""),"")</f>
        <v/>
      </c>
      <c r="B3223" s="36">
        <f t="shared" si="157"/>
        <v>9</v>
      </c>
      <c r="C3223" s="37">
        <f t="shared" si="178"/>
        <v>41158</v>
      </c>
      <c r="D3223" s="37" t="s">
        <v>1738</v>
      </c>
      <c r="E3223" s="191">
        <v>41158</v>
      </c>
      <c r="F3223" s="40" t="s">
        <v>1121</v>
      </c>
      <c r="G3223" s="40" t="s">
        <v>1060</v>
      </c>
      <c r="H3223" s="7" t="s">
        <v>1706</v>
      </c>
      <c r="I3223" s="252">
        <v>1020</v>
      </c>
      <c r="J3223" s="252">
        <v>7575.3531930463851</v>
      </c>
      <c r="K3223" s="38">
        <f t="shared" si="179"/>
        <v>7726860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customHeight="1">
      <c r="A3224" s="204" t="str">
        <f>IF(B3224&lt;&gt;"",IF(AND(B3224&gt;=_TM1,B3224&lt;=_TM2,OR(TH!L3224="1111",TH!M3224="1111")),TH!D3224,""),"")</f>
        <v/>
      </c>
      <c r="B3224" s="36">
        <f t="shared" si="157"/>
        <v>9</v>
      </c>
      <c r="C3224" s="37">
        <f t="shared" si="178"/>
        <v>41162</v>
      </c>
      <c r="D3224" s="37" t="s">
        <v>1738</v>
      </c>
      <c r="E3224" s="191">
        <v>41162</v>
      </c>
      <c r="F3224" s="40" t="s">
        <v>1147</v>
      </c>
      <c r="G3224" s="40" t="s">
        <v>1061</v>
      </c>
      <c r="H3224" s="7" t="s">
        <v>1706</v>
      </c>
      <c r="I3224" s="252">
        <v>108</v>
      </c>
      <c r="J3224" s="252">
        <v>36946.529663634617</v>
      </c>
      <c r="K3224" s="38">
        <f t="shared" si="179"/>
        <v>3990225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customHeight="1">
      <c r="A3225" s="204" t="str">
        <f>IF(B3225&lt;&gt;"",IF(AND(B3225&gt;=_TM1,B3225&lt;=_TM2,OR(TH!L3225="1111",TH!M3225="1111")),TH!D3225,""),"")</f>
        <v/>
      </c>
      <c r="B3225" s="36">
        <f t="shared" si="157"/>
        <v>9</v>
      </c>
      <c r="C3225" s="37">
        <f t="shared" si="178"/>
        <v>41162</v>
      </c>
      <c r="D3225" s="37" t="s">
        <v>1738</v>
      </c>
      <c r="E3225" s="191">
        <v>41162</v>
      </c>
      <c r="F3225" s="40" t="s">
        <v>1146</v>
      </c>
      <c r="G3225" s="40" t="s">
        <v>1061</v>
      </c>
      <c r="H3225" s="7" t="s">
        <v>1706</v>
      </c>
      <c r="I3225" s="252">
        <v>63</v>
      </c>
      <c r="J3225" s="252">
        <v>32162.529663634621</v>
      </c>
      <c r="K3225" s="38">
        <f t="shared" si="179"/>
        <v>2026239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customHeight="1">
      <c r="A3226" s="204" t="str">
        <f>IF(B3226&lt;&gt;"",IF(AND(B3226&gt;=_TM1,B3226&lt;=_TM2,OR(TH!L3226="1111",TH!M3226="1111")),TH!D3226,""),"")</f>
        <v/>
      </c>
      <c r="B3226" s="36">
        <f t="shared" si="157"/>
        <v>9</v>
      </c>
      <c r="C3226" s="37">
        <f t="shared" si="178"/>
        <v>41162</v>
      </c>
      <c r="D3226" s="37" t="s">
        <v>1738</v>
      </c>
      <c r="E3226" s="191">
        <v>41162</v>
      </c>
      <c r="F3226" s="40" t="s">
        <v>1128</v>
      </c>
      <c r="G3226" s="40" t="s">
        <v>432</v>
      </c>
      <c r="H3226" s="7" t="s">
        <v>1706</v>
      </c>
      <c r="I3226" s="252">
        <v>590</v>
      </c>
      <c r="J3226" s="252">
        <v>12766.088985668517</v>
      </c>
      <c r="K3226" s="38">
        <f t="shared" si="179"/>
        <v>7531993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customHeight="1">
      <c r="A3227" s="204" t="str">
        <f>IF(B3227&lt;&gt;"",IF(AND(B3227&gt;=_TM1,B3227&lt;=_TM2,OR(TH!L3227="1111",TH!M3227="1111")),TH!D3227,""),"")</f>
        <v/>
      </c>
      <c r="B3227" s="36">
        <f t="shared" si="157"/>
        <v>9</v>
      </c>
      <c r="C3227" s="37">
        <f t="shared" si="178"/>
        <v>41162</v>
      </c>
      <c r="D3227" s="37" t="s">
        <v>1738</v>
      </c>
      <c r="E3227" s="191">
        <v>41162</v>
      </c>
      <c r="F3227" s="40" t="s">
        <v>1129</v>
      </c>
      <c r="G3227" s="40" t="s">
        <v>432</v>
      </c>
      <c r="H3227" s="7" t="s">
        <v>1706</v>
      </c>
      <c r="I3227" s="252">
        <v>199</v>
      </c>
      <c r="J3227" s="252">
        <v>9270.3688596145203</v>
      </c>
      <c r="K3227" s="38">
        <f t="shared" si="179"/>
        <v>1844803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customHeight="1">
      <c r="A3228" s="204" t="str">
        <f>IF(B3228&lt;&gt;"",IF(AND(B3228&gt;=_TM1,B3228&lt;=_TM2,OR(TH!L3228="1111",TH!M3228="1111")),TH!D3228,""),"")</f>
        <v/>
      </c>
      <c r="B3228" s="36">
        <f t="shared" si="157"/>
        <v>9</v>
      </c>
      <c r="C3228" s="37">
        <f t="shared" si="178"/>
        <v>41162</v>
      </c>
      <c r="D3228" s="37" t="s">
        <v>1738</v>
      </c>
      <c r="E3228" s="191">
        <v>41162</v>
      </c>
      <c r="F3228" s="40" t="s">
        <v>1739</v>
      </c>
      <c r="G3228" s="40" t="s">
        <v>432</v>
      </c>
      <c r="H3228" s="7" t="s">
        <v>1706</v>
      </c>
      <c r="I3228" s="252">
        <v>303</v>
      </c>
      <c r="J3228" s="252">
        <v>11865.896000268285</v>
      </c>
      <c r="K3228" s="38">
        <f t="shared" si="179"/>
        <v>3595366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customHeight="1">
      <c r="A3229" s="204" t="str">
        <f>IF(B3229&lt;&gt;"",IF(AND(B3229&gt;=_TM1,B3229&lt;=_TM2,OR(TH!L3229="1111",TH!M3229="1111")),TH!D3229,""),"")</f>
        <v/>
      </c>
      <c r="B3229" s="36">
        <f t="shared" si="157"/>
        <v>9</v>
      </c>
      <c r="C3229" s="37">
        <f t="shared" si="178"/>
        <v>41162</v>
      </c>
      <c r="D3229" s="37" t="s">
        <v>1738</v>
      </c>
      <c r="E3229" s="191">
        <v>41162</v>
      </c>
      <c r="F3229" s="40" t="s">
        <v>1062</v>
      </c>
      <c r="G3229" s="40" t="s">
        <v>1063</v>
      </c>
      <c r="H3229" s="7" t="s">
        <v>1706</v>
      </c>
      <c r="I3229" s="252">
        <v>100</v>
      </c>
      <c r="J3229" s="252">
        <v>6189.1296636346206</v>
      </c>
      <c r="K3229" s="38">
        <f t="shared" si="179"/>
        <v>618913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customHeight="1">
      <c r="A3230" s="204" t="str">
        <f>IF(B3230&lt;&gt;"",IF(AND(B3230&gt;=_TM1,B3230&lt;=_TM2,OR(TH!L3230="1111",TH!M3230="1111")),TH!D3230,""),"")</f>
        <v/>
      </c>
      <c r="B3230" s="36">
        <f t="shared" si="157"/>
        <v>9</v>
      </c>
      <c r="C3230" s="37">
        <f t="shared" si="178"/>
        <v>41162</v>
      </c>
      <c r="D3230" s="37" t="s">
        <v>1738</v>
      </c>
      <c r="E3230" s="191">
        <v>41162</v>
      </c>
      <c r="F3230" s="40" t="s">
        <v>1229</v>
      </c>
      <c r="G3230" s="40" t="s">
        <v>1063</v>
      </c>
      <c r="H3230" s="7" t="s">
        <v>1706</v>
      </c>
      <c r="I3230" s="252">
        <v>228</v>
      </c>
      <c r="J3230" s="252">
        <v>4765.6875583714636</v>
      </c>
      <c r="K3230" s="38">
        <f t="shared" si="179"/>
        <v>1086577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customHeight="1">
      <c r="A3231" s="204" t="str">
        <f>IF(B3231&lt;&gt;"",IF(AND(B3231&gt;=_TM1,B3231&lt;=_TM2,OR(TH!L3231="1111",TH!M3231="1111")),TH!D3231,""),"")</f>
        <v/>
      </c>
      <c r="B3231" s="36">
        <f t="shared" si="157"/>
        <v>9</v>
      </c>
      <c r="C3231" s="37">
        <f t="shared" si="178"/>
        <v>41163</v>
      </c>
      <c r="D3231" s="37" t="s">
        <v>1738</v>
      </c>
      <c r="E3231" s="191">
        <v>41163</v>
      </c>
      <c r="F3231" s="40" t="s">
        <v>1229</v>
      </c>
      <c r="G3231" s="40" t="s">
        <v>1064</v>
      </c>
      <c r="H3231" s="7" t="s">
        <v>1706</v>
      </c>
      <c r="I3231" s="252">
        <v>808</v>
      </c>
      <c r="J3231" s="252">
        <v>4688.1732279910557</v>
      </c>
      <c r="K3231" s="38">
        <f t="shared" si="179"/>
        <v>3788044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customHeight="1">
      <c r="A3232" s="204" t="str">
        <f>IF(B3232&lt;&gt;"",IF(AND(B3232&gt;=_TM1,B3232&lt;=_TM2,OR(TH!L3232="1111",TH!M3232="1111")),TH!D3232,""),"")</f>
        <v/>
      </c>
      <c r="B3232" s="36">
        <f t="shared" si="157"/>
        <v>9</v>
      </c>
      <c r="C3232" s="37">
        <f t="shared" si="178"/>
        <v>41163</v>
      </c>
      <c r="D3232" s="37" t="s">
        <v>1738</v>
      </c>
      <c r="E3232" s="191">
        <v>41163</v>
      </c>
      <c r="F3232" s="40" t="s">
        <v>1230</v>
      </c>
      <c r="G3232" s="40" t="s">
        <v>1064</v>
      </c>
      <c r="H3232" s="7" t="s">
        <v>1706</v>
      </c>
      <c r="I3232" s="252">
        <v>209</v>
      </c>
      <c r="J3232" s="252">
        <v>6609.7928215293578</v>
      </c>
      <c r="K3232" s="38">
        <f t="shared" si="179"/>
        <v>1381447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customHeight="1">
      <c r="A3233" s="204" t="str">
        <f>IF(B3233&lt;&gt;"",IF(AND(B3233&gt;=_TM1,B3233&lt;=_TM2,OR(TH!L3233="1111",TH!M3233="1111")),TH!D3233,""),"")</f>
        <v/>
      </c>
      <c r="B3233" s="36">
        <f t="shared" si="157"/>
        <v>9</v>
      </c>
      <c r="C3233" s="37">
        <f t="shared" si="178"/>
        <v>41163</v>
      </c>
      <c r="D3233" s="37" t="s">
        <v>1738</v>
      </c>
      <c r="E3233" s="191">
        <v>41163</v>
      </c>
      <c r="F3233" s="40" t="s">
        <v>1231</v>
      </c>
      <c r="G3233" s="40" t="s">
        <v>1064</v>
      </c>
      <c r="H3233" s="7" t="s">
        <v>1706</v>
      </c>
      <c r="I3233" s="252">
        <v>104</v>
      </c>
      <c r="J3233" s="252">
        <v>4459.5296636346211</v>
      </c>
      <c r="K3233" s="38">
        <f t="shared" si="179"/>
        <v>463791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customHeight="1">
      <c r="A3234" s="204" t="str">
        <f>IF(B3234&lt;&gt;"",IF(AND(B3234&gt;=_TM1,B3234&lt;=_TM2,OR(TH!L3234="1111",TH!M3234="1111")),TH!D3234,""),"")</f>
        <v/>
      </c>
      <c r="B3234" s="36">
        <f t="shared" si="157"/>
        <v>9</v>
      </c>
      <c r="C3234" s="37">
        <f t="shared" si="178"/>
        <v>41163</v>
      </c>
      <c r="D3234" s="37" t="s">
        <v>1738</v>
      </c>
      <c r="E3234" s="191">
        <v>41163</v>
      </c>
      <c r="F3234" s="40" t="s">
        <v>1222</v>
      </c>
      <c r="G3234" s="40" t="s">
        <v>1064</v>
      </c>
      <c r="H3234" s="7" t="s">
        <v>1706</v>
      </c>
      <c r="I3234" s="252">
        <v>2000</v>
      </c>
      <c r="J3234" s="252">
        <v>2171.3096636346204</v>
      </c>
      <c r="K3234" s="38">
        <f t="shared" si="179"/>
        <v>4342619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customHeight="1">
      <c r="A3235" s="204" t="str">
        <f>IF(B3235&lt;&gt;"",IF(AND(B3235&gt;=_TM1,B3235&lt;=_TM2,OR(TH!L3235="1111",TH!M3235="1111")),TH!D3235,""),"")</f>
        <v/>
      </c>
      <c r="B3235" s="36">
        <f t="shared" si="157"/>
        <v>9</v>
      </c>
      <c r="C3235" s="37">
        <f t="shared" si="178"/>
        <v>41163</v>
      </c>
      <c r="D3235" s="37" t="s">
        <v>1738</v>
      </c>
      <c r="E3235" s="191">
        <v>41163</v>
      </c>
      <c r="F3235" s="40" t="s">
        <v>1228</v>
      </c>
      <c r="G3235" s="40" t="s">
        <v>1064</v>
      </c>
      <c r="H3235" s="7" t="s">
        <v>1706</v>
      </c>
      <c r="I3235" s="252">
        <v>400</v>
      </c>
      <c r="J3235" s="252">
        <v>2213.504663634621</v>
      </c>
      <c r="K3235" s="38">
        <f t="shared" si="179"/>
        <v>885402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customHeight="1">
      <c r="A3236" s="204" t="str">
        <f>IF(B3236&lt;&gt;"",IF(AND(B3236&gt;=_TM1,B3236&lt;=_TM2,OR(TH!L3236="1111",TH!M3236="1111")),TH!D3236,""),"")</f>
        <v/>
      </c>
      <c r="B3236" s="36">
        <f t="shared" si="157"/>
        <v>9</v>
      </c>
      <c r="C3236" s="37">
        <f t="shared" si="178"/>
        <v>41169</v>
      </c>
      <c r="D3236" s="37" t="s">
        <v>1738</v>
      </c>
      <c r="E3236" s="191">
        <v>41169</v>
      </c>
      <c r="F3236" s="40" t="s">
        <v>1121</v>
      </c>
      <c r="G3236" s="40" t="s">
        <v>1065</v>
      </c>
      <c r="H3236" s="7" t="s">
        <v>1706</v>
      </c>
      <c r="I3236" s="252">
        <v>515</v>
      </c>
      <c r="J3236" s="252">
        <v>7376.3549063530672</v>
      </c>
      <c r="K3236" s="38">
        <f t="shared" si="179"/>
        <v>3798823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customHeight="1">
      <c r="A3237" s="204" t="str">
        <f>IF(B3237&lt;&gt;"",IF(AND(B3237&gt;=_TM1,B3237&lt;=_TM2,OR(TH!L3237="1111",TH!M3237="1111")),TH!D3237,""),"")</f>
        <v/>
      </c>
      <c r="B3237" s="36">
        <f t="shared" si="157"/>
        <v>9</v>
      </c>
      <c r="C3237" s="37">
        <f t="shared" si="178"/>
        <v>41169</v>
      </c>
      <c r="D3237" s="37" t="s">
        <v>1738</v>
      </c>
      <c r="E3237" s="191">
        <v>41169</v>
      </c>
      <c r="F3237" s="40" t="s">
        <v>1121</v>
      </c>
      <c r="G3237" s="40" t="s">
        <v>1065</v>
      </c>
      <c r="H3237" s="7" t="s">
        <v>1706</v>
      </c>
      <c r="I3237" s="252">
        <v>590</v>
      </c>
      <c r="J3237" s="252">
        <v>6842.7839009227564</v>
      </c>
      <c r="K3237" s="38">
        <f t="shared" si="179"/>
        <v>4037243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s="894" customFormat="1" ht="15.75" customHeight="1">
      <c r="A3238" s="910" t="str">
        <f>IF(B3238&lt;&gt;"",IF(AND(B3238&gt;=_TM1,B3238&lt;=_TM2,OR(TH!L3238="1111",TH!M3238="1111")),TH!D3238,""),"")</f>
        <v/>
      </c>
      <c r="B3238" s="885">
        <f t="shared" si="157"/>
        <v>10</v>
      </c>
      <c r="C3238" s="911">
        <f t="shared" si="178"/>
        <v>41183</v>
      </c>
      <c r="D3238" s="37" t="s">
        <v>1738</v>
      </c>
      <c r="E3238" s="886">
        <v>41183</v>
      </c>
      <c r="F3238" s="916" t="s">
        <v>1145</v>
      </c>
      <c r="G3238" s="916" t="s">
        <v>1066</v>
      </c>
      <c r="H3238" s="914" t="s">
        <v>1706</v>
      </c>
      <c r="I3238" s="890">
        <v>508</v>
      </c>
      <c r="J3238" s="890">
        <v>10711.842452385759</v>
      </c>
      <c r="K3238" s="891">
        <f t="shared" si="179"/>
        <v>5441616</v>
      </c>
      <c r="L3238" s="912" t="s">
        <v>183</v>
      </c>
      <c r="M3238" s="912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customHeight="1">
      <c r="A3239" s="204" t="str">
        <f>IF(B3239&lt;&gt;"",IF(AND(B3239&gt;=_TM1,B3239&lt;=_TM2,OR(TH!L3239="1111",TH!M3239="1111")),TH!D3239,""),"")</f>
        <v/>
      </c>
      <c r="B3239" s="36">
        <f t="shared" si="157"/>
        <v>10</v>
      </c>
      <c r="C3239" s="37">
        <f t="shared" si="178"/>
        <v>41194</v>
      </c>
      <c r="D3239" s="37" t="s">
        <v>1738</v>
      </c>
      <c r="E3239" s="191">
        <v>41194</v>
      </c>
      <c r="F3239" s="40" t="s">
        <v>1132</v>
      </c>
      <c r="G3239" s="40" t="s">
        <v>433</v>
      </c>
      <c r="H3239" s="7" t="s">
        <v>1706</v>
      </c>
      <c r="I3239" s="252">
        <v>500</v>
      </c>
      <c r="J3239" s="252">
        <v>10652.618</v>
      </c>
      <c r="K3239" s="38">
        <f t="shared" si="179"/>
        <v>5326309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customHeight="1">
      <c r="A3240" s="204" t="str">
        <f>IF(B3240&lt;&gt;"",IF(AND(B3240&gt;=_TM1,B3240&lt;=_TM2,OR(TH!L3240="1111",TH!M3240="1111")),TH!D3240,""),"")</f>
        <v/>
      </c>
      <c r="B3240" s="36">
        <f t="shared" si="157"/>
        <v>10</v>
      </c>
      <c r="C3240" s="37">
        <f t="shared" si="178"/>
        <v>41194</v>
      </c>
      <c r="D3240" s="37" t="s">
        <v>1738</v>
      </c>
      <c r="E3240" s="191">
        <v>41194</v>
      </c>
      <c r="F3240" s="40" t="s">
        <v>1121</v>
      </c>
      <c r="G3240" s="40" t="s">
        <v>433</v>
      </c>
      <c r="H3240" s="7" t="s">
        <v>1706</v>
      </c>
      <c r="I3240" s="252">
        <v>508</v>
      </c>
      <c r="J3240" s="252">
        <v>7523.9665354330709</v>
      </c>
      <c r="K3240" s="38">
        <f t="shared" si="179"/>
        <v>3822175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customHeight="1">
      <c r="A3241" s="204" t="str">
        <f>IF(B3241&lt;&gt;"",IF(AND(B3241&gt;=_TM1,B3241&lt;=_TM2,OR(TH!L3241="1111",TH!M3241="1111")),TH!D3241,""),"")</f>
        <v/>
      </c>
      <c r="B3241" s="36">
        <f t="shared" si="157"/>
        <v>10</v>
      </c>
      <c r="C3241" s="37">
        <f t="shared" si="178"/>
        <v>41194</v>
      </c>
      <c r="D3241" s="37" t="s">
        <v>1738</v>
      </c>
      <c r="E3241" s="191">
        <v>41194</v>
      </c>
      <c r="F3241" s="40" t="s">
        <v>1143</v>
      </c>
      <c r="G3241" s="40" t="s">
        <v>622</v>
      </c>
      <c r="H3241" s="7" t="s">
        <v>1706</v>
      </c>
      <c r="I3241" s="252">
        <v>1000</v>
      </c>
      <c r="J3241" s="252">
        <v>10779.965</v>
      </c>
      <c r="K3241" s="38">
        <f t="shared" si="179"/>
        <v>10779965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customHeight="1">
      <c r="A3242" s="204" t="str">
        <f>IF(B3242&lt;&gt;"",IF(AND(B3242&gt;=_TM1,B3242&lt;=_TM2,OR(TH!L3242="1111",TH!M3242="1111")),TH!D3242,""),"")</f>
        <v/>
      </c>
      <c r="B3242" s="36">
        <f t="shared" si="157"/>
        <v>10</v>
      </c>
      <c r="C3242" s="37">
        <f t="shared" si="178"/>
        <v>41194</v>
      </c>
      <c r="D3242" s="37" t="s">
        <v>1738</v>
      </c>
      <c r="E3242" s="191">
        <v>41194</v>
      </c>
      <c r="F3242" s="40" t="s">
        <v>1142</v>
      </c>
      <c r="G3242" s="40" t="s">
        <v>622</v>
      </c>
      <c r="H3242" s="7" t="s">
        <v>1706</v>
      </c>
      <c r="I3242" s="252">
        <v>200</v>
      </c>
      <c r="J3242" s="252">
        <v>12226.97</v>
      </c>
      <c r="K3242" s="38">
        <f t="shared" si="179"/>
        <v>2445394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customHeight="1">
      <c r="A3243" s="204" t="str">
        <f>IF(B3243&lt;&gt;"",IF(AND(B3243&gt;=_TM1,B3243&lt;=_TM2,OR(TH!L3243="1111",TH!M3243="1111")),TH!D3243,""),"")</f>
        <v/>
      </c>
      <c r="B3243" s="36">
        <f t="shared" si="157"/>
        <v>10</v>
      </c>
      <c r="C3243" s="37">
        <f t="shared" si="178"/>
        <v>41194</v>
      </c>
      <c r="D3243" s="37" t="s">
        <v>1738</v>
      </c>
      <c r="E3243" s="191">
        <v>41194</v>
      </c>
      <c r="F3243" s="40" t="s">
        <v>1144</v>
      </c>
      <c r="G3243" s="40" t="s">
        <v>622</v>
      </c>
      <c r="H3243" s="7" t="s">
        <v>1706</v>
      </c>
      <c r="I3243" s="252">
        <v>100</v>
      </c>
      <c r="J3243" s="252">
        <v>12104.47</v>
      </c>
      <c r="K3243" s="38">
        <f t="shared" si="179"/>
        <v>1210447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customHeight="1">
      <c r="A3244" s="204" t="str">
        <f>IF(B3244&lt;&gt;"",IF(AND(B3244&gt;=_TM1,B3244&lt;=_TM2,OR(TH!L3244="1111",TH!M3244="1111")),TH!D3244,""),"")</f>
        <v/>
      </c>
      <c r="B3244" s="36">
        <f t="shared" si="157"/>
        <v>10</v>
      </c>
      <c r="C3244" s="37">
        <f t="shared" si="178"/>
        <v>41195</v>
      </c>
      <c r="D3244" s="37" t="s">
        <v>1738</v>
      </c>
      <c r="E3244" s="191">
        <v>41195</v>
      </c>
      <c r="F3244" s="40" t="s">
        <v>1143</v>
      </c>
      <c r="G3244" s="40" t="s">
        <v>1067</v>
      </c>
      <c r="H3244" s="7" t="s">
        <v>1706</v>
      </c>
      <c r="I3244" s="252">
        <v>1000</v>
      </c>
      <c r="J3244" s="252">
        <v>10779.965</v>
      </c>
      <c r="K3244" s="38">
        <f t="shared" si="179"/>
        <v>10779965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customHeight="1">
      <c r="A3245" s="204" t="str">
        <f>IF(B3245&lt;&gt;"",IF(AND(B3245&gt;=_TM1,B3245&lt;=_TM2,OR(TH!L3245="1111",TH!M3245="1111")),TH!D3245,""),"")</f>
        <v/>
      </c>
      <c r="B3245" s="36">
        <f t="shared" si="157"/>
        <v>10</v>
      </c>
      <c r="C3245" s="37">
        <f t="shared" si="178"/>
        <v>41195</v>
      </c>
      <c r="D3245" s="37" t="s">
        <v>1738</v>
      </c>
      <c r="E3245" s="191">
        <v>41195</v>
      </c>
      <c r="F3245" s="40" t="s">
        <v>1142</v>
      </c>
      <c r="G3245" s="40" t="s">
        <v>1067</v>
      </c>
      <c r="H3245" s="7" t="s">
        <v>1706</v>
      </c>
      <c r="I3245" s="252">
        <v>300</v>
      </c>
      <c r="J3245" s="252">
        <v>12226.966666666667</v>
      </c>
      <c r="K3245" s="38">
        <f t="shared" si="179"/>
        <v>3668090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customHeight="1">
      <c r="A3246" s="204" t="str">
        <f>IF(B3246&lt;&gt;"",IF(AND(B3246&gt;=_TM1,B3246&lt;=_TM2,OR(TH!L3246="1111",TH!M3246="1111")),TH!D3246,""),"")</f>
        <v/>
      </c>
      <c r="B3246" s="36">
        <f t="shared" si="157"/>
        <v>10</v>
      </c>
      <c r="C3246" s="37">
        <f t="shared" si="178"/>
        <v>41195</v>
      </c>
      <c r="D3246" s="37" t="s">
        <v>1738</v>
      </c>
      <c r="E3246" s="191">
        <v>41195</v>
      </c>
      <c r="F3246" s="40" t="s">
        <v>1141</v>
      </c>
      <c r="G3246" s="40" t="s">
        <v>1067</v>
      </c>
      <c r="H3246" s="7" t="s">
        <v>1706</v>
      </c>
      <c r="I3246" s="252">
        <v>100</v>
      </c>
      <c r="J3246" s="252">
        <v>10591.47</v>
      </c>
      <c r="K3246" s="38">
        <f t="shared" si="179"/>
        <v>1059147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customHeight="1">
      <c r="A3247" s="204" t="str">
        <f>IF(B3247&lt;&gt;"",IF(AND(B3247&gt;=_TM1,B3247&lt;=_TM2,OR(TH!L3247="1111",TH!M3247="1111")),TH!D3247,""),"")</f>
        <v/>
      </c>
      <c r="B3247" s="36">
        <f t="shared" si="157"/>
        <v>10</v>
      </c>
      <c r="C3247" s="37">
        <f t="shared" si="178"/>
        <v>41198</v>
      </c>
      <c r="D3247" s="37" t="s">
        <v>1738</v>
      </c>
      <c r="E3247" s="191">
        <v>41198</v>
      </c>
      <c r="F3247" s="40" t="s">
        <v>1140</v>
      </c>
      <c r="G3247" s="40" t="s">
        <v>434</v>
      </c>
      <c r="H3247" s="7" t="s">
        <v>1706</v>
      </c>
      <c r="I3247" s="252">
        <v>495</v>
      </c>
      <c r="J3247" s="252">
        <v>7533.212121212121</v>
      </c>
      <c r="K3247" s="38">
        <f t="shared" si="179"/>
        <v>3728940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customHeight="1">
      <c r="A3248" s="204" t="str">
        <f>IF(B3248&lt;&gt;"",IF(AND(B3248&gt;=_TM1,B3248&lt;=_TM2,OR(TH!L3248="1111",TH!M3248="1111")),TH!D3248,""),"")</f>
        <v/>
      </c>
      <c r="B3248" s="36">
        <f t="shared" si="157"/>
        <v>10</v>
      </c>
      <c r="C3248" s="37">
        <f t="shared" ref="C3248:C3300" si="180">E3248</f>
        <v>41199</v>
      </c>
      <c r="D3248" s="37" t="s">
        <v>1738</v>
      </c>
      <c r="E3248" s="191">
        <v>41199</v>
      </c>
      <c r="F3248" s="40" t="s">
        <v>1132</v>
      </c>
      <c r="G3248" s="40" t="s">
        <v>1068</v>
      </c>
      <c r="H3248" s="7" t="s">
        <v>1706</v>
      </c>
      <c r="I3248" s="252">
        <v>489</v>
      </c>
      <c r="J3248" s="252">
        <v>10763.417177914111</v>
      </c>
      <c r="K3248" s="38">
        <f t="shared" ref="K3248:K3255" si="181">ROUND(I3248*J3248,0)</f>
        <v>5263311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customHeight="1">
      <c r="A3249" s="204" t="str">
        <f>IF(B3249&lt;&gt;"",IF(AND(B3249&gt;=_TM1,B3249&lt;=_TM2,OR(TH!L3249="1111",TH!M3249="1111")),TH!D3249,""),"")</f>
        <v/>
      </c>
      <c r="B3249" s="36">
        <f t="shared" si="157"/>
        <v>10</v>
      </c>
      <c r="C3249" s="37">
        <f t="shared" si="180"/>
        <v>41199</v>
      </c>
      <c r="D3249" s="37" t="s">
        <v>1738</v>
      </c>
      <c r="E3249" s="191">
        <v>41199</v>
      </c>
      <c r="F3249" s="40" t="s">
        <v>1121</v>
      </c>
      <c r="G3249" s="40" t="s">
        <v>1068</v>
      </c>
      <c r="H3249" s="7" t="s">
        <v>1706</v>
      </c>
      <c r="I3249" s="252">
        <v>490</v>
      </c>
      <c r="J3249" s="252">
        <v>7542.6469387755105</v>
      </c>
      <c r="K3249" s="38">
        <f t="shared" si="181"/>
        <v>3695897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customHeight="1">
      <c r="A3250" s="204" t="str">
        <f>IF(B3250&lt;&gt;"",IF(AND(B3250&gt;=_TM1,B3250&lt;=_TM2,OR(TH!L3250="1111",TH!M3250="1111")),TH!D3250,""),"")</f>
        <v/>
      </c>
      <c r="B3250" s="36">
        <f t="shared" si="157"/>
        <v>10</v>
      </c>
      <c r="C3250" s="37">
        <f t="shared" si="180"/>
        <v>41199</v>
      </c>
      <c r="D3250" s="37" t="s">
        <v>1738</v>
      </c>
      <c r="E3250" s="191">
        <v>41199</v>
      </c>
      <c r="F3250" s="40" t="s">
        <v>1069</v>
      </c>
      <c r="G3250" s="40" t="s">
        <v>435</v>
      </c>
      <c r="H3250" s="7" t="s">
        <v>1706</v>
      </c>
      <c r="I3250" s="252">
        <v>106</v>
      </c>
      <c r="J3250" s="252">
        <v>6344.9716981132078</v>
      </c>
      <c r="K3250" s="38">
        <f t="shared" si="181"/>
        <v>672567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customHeight="1">
      <c r="A3251" s="204" t="str">
        <f>IF(B3251&lt;&gt;"",IF(AND(B3251&gt;=_TM1,B3251&lt;=_TM2,OR(TH!L3251="1111",TH!M3251="1111")),TH!D3251,""),"")</f>
        <v/>
      </c>
      <c r="B3251" s="36">
        <f t="shared" si="157"/>
        <v>10</v>
      </c>
      <c r="C3251" s="37">
        <f t="shared" si="180"/>
        <v>41199</v>
      </c>
      <c r="D3251" s="37" t="s">
        <v>1738</v>
      </c>
      <c r="E3251" s="191">
        <v>41199</v>
      </c>
      <c r="F3251" s="40" t="s">
        <v>1070</v>
      </c>
      <c r="G3251" s="40" t="s">
        <v>435</v>
      </c>
      <c r="H3251" s="7" t="s">
        <v>1706</v>
      </c>
      <c r="I3251" s="252">
        <v>104</v>
      </c>
      <c r="J3251" s="252">
        <v>6561.4711538461543</v>
      </c>
      <c r="K3251" s="38">
        <f t="shared" si="181"/>
        <v>682393</v>
      </c>
      <c r="L3251" s="39" t="s">
        <v>183</v>
      </c>
      <c r="M3251" s="39" t="s">
        <v>177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customHeight="1">
      <c r="A3252" s="204" t="str">
        <f>IF(B3252&lt;&gt;"",IF(AND(B3252&gt;=_TM1,B3252&lt;=_TM2,OR(TH!L3252="1111",TH!M3252="1111")),TH!D3252,""),"")</f>
        <v/>
      </c>
      <c r="B3252" s="36">
        <f t="shared" si="157"/>
        <v>10</v>
      </c>
      <c r="C3252" s="37">
        <f t="shared" si="180"/>
        <v>41201</v>
      </c>
      <c r="D3252" s="37" t="s">
        <v>1738</v>
      </c>
      <c r="E3252" s="191">
        <v>41201</v>
      </c>
      <c r="F3252" s="40" t="s">
        <v>1139</v>
      </c>
      <c r="G3252" s="40" t="s">
        <v>1071</v>
      </c>
      <c r="H3252" s="7" t="s">
        <v>1706</v>
      </c>
      <c r="I3252" s="252">
        <v>515</v>
      </c>
      <c r="J3252" s="252">
        <v>15388.436893203883</v>
      </c>
      <c r="K3252" s="38">
        <f t="shared" si="181"/>
        <v>7925045</v>
      </c>
      <c r="L3252" s="39" t="s">
        <v>183</v>
      </c>
      <c r="M3252" s="39" t="s">
        <v>177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customHeight="1">
      <c r="A3253" s="204" t="str">
        <f>IF(B3253&lt;&gt;"",IF(AND(B3253&gt;=_TM1,B3253&lt;=_TM2,OR(TH!L3253="1111",TH!M3253="1111")),TH!D3253,""),"")</f>
        <v/>
      </c>
      <c r="B3253" s="36">
        <f t="shared" si="157"/>
        <v>10</v>
      </c>
      <c r="C3253" s="37">
        <f t="shared" si="180"/>
        <v>41201</v>
      </c>
      <c r="D3253" s="37" t="s">
        <v>1738</v>
      </c>
      <c r="E3253" s="191">
        <v>41201</v>
      </c>
      <c r="F3253" s="40" t="s">
        <v>1138</v>
      </c>
      <c r="G3253" s="40" t="s">
        <v>1072</v>
      </c>
      <c r="H3253" s="7" t="s">
        <v>1706</v>
      </c>
      <c r="I3253" s="252">
        <v>1036</v>
      </c>
      <c r="J3253" s="252">
        <v>6561.4642857142853</v>
      </c>
      <c r="K3253" s="38">
        <f t="shared" si="181"/>
        <v>6797677</v>
      </c>
      <c r="L3253" s="39" t="s">
        <v>183</v>
      </c>
      <c r="M3253" s="39" t="s">
        <v>177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customHeight="1">
      <c r="A3254" s="204" t="str">
        <f>IF(B3254&lt;&gt;"",IF(AND(B3254&gt;=_TM1,B3254&lt;=_TM2,OR(TH!L3254="1111",TH!M3254="1111")),TH!D3254,""),"")</f>
        <v/>
      </c>
      <c r="B3254" s="36">
        <f t="shared" si="157"/>
        <v>10</v>
      </c>
      <c r="C3254" s="37">
        <f t="shared" si="180"/>
        <v>41205</v>
      </c>
      <c r="D3254" s="37" t="s">
        <v>1738</v>
      </c>
      <c r="E3254" s="191">
        <v>41205</v>
      </c>
      <c r="F3254" s="40" t="s">
        <v>1125</v>
      </c>
      <c r="G3254" s="40" t="s">
        <v>1073</v>
      </c>
      <c r="H3254" s="7" t="s">
        <v>1706</v>
      </c>
      <c r="I3254" s="252">
        <v>1020</v>
      </c>
      <c r="J3254" s="252">
        <v>8288.2343137254902</v>
      </c>
      <c r="K3254" s="38">
        <f t="shared" si="181"/>
        <v>8453999</v>
      </c>
      <c r="L3254" s="39" t="s">
        <v>183</v>
      </c>
      <c r="M3254" s="39" t="s">
        <v>177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5" spans="1:26" ht="15.75" customHeight="1">
      <c r="A3255" s="204" t="str">
        <f>IF(B3255&lt;&gt;"",IF(AND(B3255&gt;=_TM1,B3255&lt;=_TM2,OR(TH!L3255="1111",TH!M3255="1111")),TH!D3255,""),"")</f>
        <v/>
      </c>
      <c r="B3255" s="36">
        <f t="shared" si="157"/>
        <v>10</v>
      </c>
      <c r="C3255" s="37">
        <f t="shared" si="180"/>
        <v>41205</v>
      </c>
      <c r="D3255" s="37" t="s">
        <v>1738</v>
      </c>
      <c r="E3255" s="191">
        <v>41205</v>
      </c>
      <c r="F3255" s="40" t="s">
        <v>1137</v>
      </c>
      <c r="G3255" s="40" t="s">
        <v>1074</v>
      </c>
      <c r="H3255" s="7" t="s">
        <v>1706</v>
      </c>
      <c r="I3255" s="252">
        <v>1350</v>
      </c>
      <c r="J3255" s="252">
        <v>5500.982962962963</v>
      </c>
      <c r="K3255" s="38">
        <f t="shared" si="181"/>
        <v>7426327</v>
      </c>
      <c r="L3255" s="39" t="s">
        <v>183</v>
      </c>
      <c r="M3255" s="39" t="s">
        <v>177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</row>
    <row r="3256" spans="1:26" ht="15.75" customHeight="1">
      <c r="A3256" s="204" t="str">
        <f>IF(B3256&lt;&gt;"",IF(AND(B3256&gt;=_TM1,B3256&lt;=_TM2,OR(TH!L3256="1111",TH!M3256="1111")),TH!D3256,""),"")</f>
        <v/>
      </c>
      <c r="B3256" s="36">
        <f t="shared" si="157"/>
        <v>10</v>
      </c>
      <c r="C3256" s="37">
        <f t="shared" si="180"/>
        <v>41205</v>
      </c>
      <c r="D3256" s="37" t="s">
        <v>1738</v>
      </c>
      <c r="E3256" s="191">
        <v>41205</v>
      </c>
      <c r="F3256" s="40" t="s">
        <v>1136</v>
      </c>
      <c r="G3256" s="40" t="s">
        <v>1074</v>
      </c>
      <c r="H3256" s="7" t="s">
        <v>1706</v>
      </c>
      <c r="I3256" s="252">
        <v>617</v>
      </c>
      <c r="J3256" s="252">
        <v>9013.6995077335814</v>
      </c>
      <c r="K3256" s="38">
        <f t="shared" ref="K3256:K3300" si="182">ROUND(I3256*J3256,0)</f>
        <v>5561453</v>
      </c>
      <c r="L3256" s="39" t="s">
        <v>183</v>
      </c>
      <c r="M3256" s="39" t="s">
        <v>177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</row>
    <row r="3257" spans="1:26" ht="15.75" customHeight="1">
      <c r="A3257" s="204" t="str">
        <f>IF(B3257&lt;&gt;"",IF(AND(B3257&gt;=_TM1,B3257&lt;=_TM2,OR(TH!L3257="1111",TH!M3257="1111")),TH!D3257,""),"")</f>
        <v/>
      </c>
      <c r="B3257" s="36">
        <f t="shared" si="157"/>
        <v>10</v>
      </c>
      <c r="C3257" s="37">
        <f t="shared" si="180"/>
        <v>41205</v>
      </c>
      <c r="D3257" s="37" t="s">
        <v>1738</v>
      </c>
      <c r="E3257" s="191">
        <v>41205</v>
      </c>
      <c r="F3257" s="40" t="s">
        <v>1135</v>
      </c>
      <c r="G3257" s="40" t="s">
        <v>1074</v>
      </c>
      <c r="H3257" s="7" t="s">
        <v>1706</v>
      </c>
      <c r="I3257" s="252">
        <v>293</v>
      </c>
      <c r="J3257" s="252">
        <v>5300.5361719848033</v>
      </c>
      <c r="K3257" s="38">
        <f t="shared" si="182"/>
        <v>1553057</v>
      </c>
      <c r="L3257" s="39" t="s">
        <v>183</v>
      </c>
      <c r="M3257" s="39" t="s">
        <v>177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</row>
    <row r="3258" spans="1:26" ht="15.75" customHeight="1">
      <c r="A3258" s="204" t="str">
        <f>IF(B3258&lt;&gt;"",IF(AND(B3258&gt;=_TM1,B3258&lt;=_TM2,OR(TH!L3258="1111",TH!M3258="1111")),TH!D3258,""),"")</f>
        <v/>
      </c>
      <c r="B3258" s="36">
        <f t="shared" si="157"/>
        <v>10</v>
      </c>
      <c r="C3258" s="37">
        <f t="shared" si="180"/>
        <v>41205</v>
      </c>
      <c r="D3258" s="37" t="s">
        <v>1738</v>
      </c>
      <c r="E3258" s="191">
        <v>41205</v>
      </c>
      <c r="F3258" s="40" t="s">
        <v>1117</v>
      </c>
      <c r="G3258" s="40" t="s">
        <v>1074</v>
      </c>
      <c r="H3258" s="7" t="s">
        <v>1706</v>
      </c>
      <c r="I3258" s="252">
        <v>500</v>
      </c>
      <c r="J3258" s="252">
        <v>9246.1204996298529</v>
      </c>
      <c r="K3258" s="38">
        <f t="shared" si="182"/>
        <v>4623060</v>
      </c>
      <c r="L3258" s="39" t="s">
        <v>183</v>
      </c>
      <c r="M3258" s="39" t="s">
        <v>177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</row>
    <row r="3259" spans="1:26" ht="15.75" customHeight="1">
      <c r="A3259" s="204" t="str">
        <f>IF(B3259&lt;&gt;"",IF(AND(B3259&gt;=_TM1,B3259&lt;=_TM2,OR(TH!L3259="1111",TH!M3259="1111")),TH!D3259,""),"")</f>
        <v/>
      </c>
      <c r="B3259" s="36">
        <f t="shared" si="157"/>
        <v>10</v>
      </c>
      <c r="C3259" s="37">
        <f t="shared" si="180"/>
        <v>41208</v>
      </c>
      <c r="D3259" s="37" t="s">
        <v>1738</v>
      </c>
      <c r="E3259" s="191">
        <v>41208</v>
      </c>
      <c r="F3259" s="40" t="s">
        <v>1117</v>
      </c>
      <c r="G3259" s="40" t="s">
        <v>1075</v>
      </c>
      <c r="H3259" s="7" t="s">
        <v>1706</v>
      </c>
      <c r="I3259" s="252">
        <v>98</v>
      </c>
      <c r="J3259" s="252">
        <v>9068.6073567727108</v>
      </c>
      <c r="K3259" s="38">
        <f t="shared" si="182"/>
        <v>888724</v>
      </c>
      <c r="L3259" s="39" t="s">
        <v>183</v>
      </c>
      <c r="M3259" s="39" t="s">
        <v>177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</row>
    <row r="3260" spans="1:26" ht="15.75" customHeight="1">
      <c r="A3260" s="204" t="str">
        <f>IF(B3260&lt;&gt;"",IF(AND(B3260&gt;=_TM1,B3260&lt;=_TM2,OR(TH!L3260="1111",TH!M3260="1111")),TH!D3260,""),"")</f>
        <v/>
      </c>
      <c r="B3260" s="36">
        <f t="shared" si="157"/>
        <v>10</v>
      </c>
      <c r="C3260" s="37">
        <f t="shared" si="180"/>
        <v>41208</v>
      </c>
      <c r="D3260" s="37" t="s">
        <v>1738</v>
      </c>
      <c r="E3260" s="191">
        <v>41208</v>
      </c>
      <c r="F3260" s="40" t="s">
        <v>1118</v>
      </c>
      <c r="G3260" s="40" t="s">
        <v>1075</v>
      </c>
      <c r="H3260" s="7" t="s">
        <v>1706</v>
      </c>
      <c r="I3260" s="252">
        <v>1272</v>
      </c>
      <c r="J3260" s="252">
        <v>5191.4361977430617</v>
      </c>
      <c r="K3260" s="38">
        <f t="shared" si="182"/>
        <v>6603507</v>
      </c>
      <c r="L3260" s="39" t="s">
        <v>183</v>
      </c>
      <c r="M3260" s="39" t="s">
        <v>177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</row>
    <row r="3261" spans="1:26" ht="15.75" customHeight="1">
      <c r="A3261" s="204" t="str">
        <f>IF(B3261&lt;&gt;"",IF(AND(B3261&gt;=_TM1,B3261&lt;=_TM2,OR(TH!L3261="1111",TH!M3261="1111")),TH!D3261,""),"")</f>
        <v/>
      </c>
      <c r="B3261" s="36">
        <f t="shared" si="157"/>
        <v>10</v>
      </c>
      <c r="C3261" s="37">
        <f t="shared" si="180"/>
        <v>41208</v>
      </c>
      <c r="D3261" s="37" t="s">
        <v>1738</v>
      </c>
      <c r="E3261" s="191">
        <v>41208</v>
      </c>
      <c r="F3261" s="40" t="s">
        <v>1134</v>
      </c>
      <c r="G3261" s="40" t="s">
        <v>1075</v>
      </c>
      <c r="H3261" s="7" t="s">
        <v>1706</v>
      </c>
      <c r="I3261" s="252">
        <v>640</v>
      </c>
      <c r="J3261" s="252">
        <v>6727.4644996298548</v>
      </c>
      <c r="K3261" s="38">
        <f t="shared" si="182"/>
        <v>4305577</v>
      </c>
      <c r="L3261" s="39" t="s">
        <v>183</v>
      </c>
      <c r="M3261" s="39" t="s">
        <v>177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</row>
    <row r="3262" spans="1:26" ht="15.75" customHeight="1">
      <c r="A3262" s="204" t="str">
        <f>IF(B3262&lt;&gt;"",IF(AND(B3262&gt;=_TM1,B3262&lt;=_TM2,OR(TH!L3262="1111",TH!M3262="1111")),TH!D3262,""),"")</f>
        <v/>
      </c>
      <c r="B3262" s="36">
        <f t="shared" si="157"/>
        <v>10</v>
      </c>
      <c r="C3262" s="37">
        <f t="shared" si="180"/>
        <v>41208</v>
      </c>
      <c r="D3262" s="37" t="s">
        <v>1738</v>
      </c>
      <c r="E3262" s="191">
        <v>41208</v>
      </c>
      <c r="F3262" s="40" t="s">
        <v>1133</v>
      </c>
      <c r="G3262" s="40" t="s">
        <v>1075</v>
      </c>
      <c r="H3262" s="7" t="s">
        <v>1706</v>
      </c>
      <c r="I3262" s="252">
        <v>606</v>
      </c>
      <c r="J3262" s="252">
        <v>8288.2334765275446</v>
      </c>
      <c r="K3262" s="38">
        <f t="shared" si="182"/>
        <v>5022669</v>
      </c>
      <c r="L3262" s="39" t="s">
        <v>183</v>
      </c>
      <c r="M3262" s="39" t="s">
        <v>177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</row>
    <row r="3263" spans="1:26" ht="15.75" customHeight="1">
      <c r="A3263" s="204" t="str">
        <f>IF(B3263&lt;&gt;"",IF(AND(B3263&gt;=_TM1,B3263&lt;=_TM2,OR(TH!L3263="1111",TH!M3263="1111")),TH!D3263,""),"")</f>
        <v/>
      </c>
      <c r="B3263" s="36">
        <f t="shared" si="157"/>
        <v>10</v>
      </c>
      <c r="C3263" s="37">
        <f t="shared" si="180"/>
        <v>41213</v>
      </c>
      <c r="D3263" s="37" t="s">
        <v>1738</v>
      </c>
      <c r="E3263" s="191">
        <v>41213</v>
      </c>
      <c r="F3263" s="40" t="s">
        <v>1121</v>
      </c>
      <c r="G3263" s="40" t="s">
        <v>1076</v>
      </c>
      <c r="H3263" s="7" t="s">
        <v>1706</v>
      </c>
      <c r="I3263" s="252">
        <v>998</v>
      </c>
      <c r="J3263" s="252">
        <v>7533.1358423152251</v>
      </c>
      <c r="K3263" s="38">
        <f t="shared" si="182"/>
        <v>7518070</v>
      </c>
      <c r="L3263" s="39" t="s">
        <v>183</v>
      </c>
      <c r="M3263" s="39" t="s">
        <v>177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</row>
    <row r="3264" spans="1:26" ht="15.75" customHeight="1">
      <c r="A3264" s="204" t="str">
        <f>IF(B3264&lt;&gt;"",IF(AND(B3264&gt;=_TM1,B3264&lt;=_TM2,OR(TH!L3264="1111",TH!M3264="1111")),TH!D3264,""),"")</f>
        <v/>
      </c>
      <c r="B3264" s="36">
        <f t="shared" si="157"/>
        <v>10</v>
      </c>
      <c r="C3264" s="37">
        <f t="shared" si="180"/>
        <v>41213</v>
      </c>
      <c r="D3264" s="37" t="s">
        <v>1738</v>
      </c>
      <c r="E3264" s="191">
        <v>41213</v>
      </c>
      <c r="F3264" s="40" t="s">
        <v>1132</v>
      </c>
      <c r="G3264" s="40" t="s">
        <v>1076</v>
      </c>
      <c r="H3264" s="7" t="s">
        <v>1706</v>
      </c>
      <c r="I3264" s="252">
        <v>200</v>
      </c>
      <c r="J3264" s="252">
        <v>10591.464499629854</v>
      </c>
      <c r="K3264" s="38">
        <f t="shared" si="182"/>
        <v>2118293</v>
      </c>
      <c r="L3264" s="39" t="s">
        <v>183</v>
      </c>
      <c r="M3264" s="39" t="s">
        <v>177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</row>
    <row r="3265" spans="1:26" ht="15.75" customHeight="1">
      <c r="A3265" s="204" t="str">
        <f>IF(B3265&lt;&gt;"",IF(AND(B3265&gt;=_TM1,B3265&lt;=_TM2,OR(TH!L3265="1111",TH!M3265="1111")),TH!D3265,""),"")</f>
        <v/>
      </c>
      <c r="B3265" s="36">
        <f t="shared" si="157"/>
        <v>10</v>
      </c>
      <c r="C3265" s="37">
        <f t="shared" si="180"/>
        <v>41213</v>
      </c>
      <c r="D3265" s="37" t="s">
        <v>1738</v>
      </c>
      <c r="E3265" s="191">
        <v>41213</v>
      </c>
      <c r="F3265" s="40" t="s">
        <v>1077</v>
      </c>
      <c r="G3265" s="40" t="s">
        <v>1078</v>
      </c>
      <c r="H3265" s="7" t="s">
        <v>1706</v>
      </c>
      <c r="I3265" s="252">
        <v>100</v>
      </c>
      <c r="J3265" s="252">
        <v>12104.464499629854</v>
      </c>
      <c r="K3265" s="38">
        <f t="shared" si="182"/>
        <v>1210446</v>
      </c>
      <c r="L3265" s="39" t="s">
        <v>183</v>
      </c>
      <c r="M3265" s="39" t="s">
        <v>177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</row>
    <row r="3266" spans="1:26" ht="15.75" customHeight="1">
      <c r="A3266" s="204" t="str">
        <f>IF(B3266&lt;&gt;"",IF(AND(B3266&gt;=_TM1,B3266&lt;=_TM2,OR(TH!L3266="1111",TH!M3266="1111")),TH!D3266,""),"")</f>
        <v/>
      </c>
      <c r="B3266" s="36">
        <f t="shared" si="157"/>
        <v>10</v>
      </c>
      <c r="C3266" s="37">
        <f t="shared" si="180"/>
        <v>41213</v>
      </c>
      <c r="D3266" s="37" t="s">
        <v>1738</v>
      </c>
      <c r="E3266" s="191">
        <v>41213</v>
      </c>
      <c r="F3266" s="40" t="s">
        <v>1080</v>
      </c>
      <c r="G3266" s="40" t="s">
        <v>1078</v>
      </c>
      <c r="H3266" s="7" t="s">
        <v>1706</v>
      </c>
      <c r="I3266" s="252">
        <v>100</v>
      </c>
      <c r="J3266" s="252">
        <v>12104.464499629854</v>
      </c>
      <c r="K3266" s="38">
        <f t="shared" si="182"/>
        <v>1210446</v>
      </c>
      <c r="L3266" s="39" t="s">
        <v>183</v>
      </c>
      <c r="M3266" s="39" t="s">
        <v>177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</row>
    <row r="3267" spans="1:26" ht="15.75" customHeight="1">
      <c r="A3267" s="204" t="str">
        <f>IF(B3267&lt;&gt;"",IF(AND(B3267&gt;=_TM1,B3267&lt;=_TM2,OR(TH!L3267="1111",TH!M3267="1111")),TH!D3267,""),"")</f>
        <v/>
      </c>
      <c r="B3267" s="36">
        <f t="shared" si="157"/>
        <v>10</v>
      </c>
      <c r="C3267" s="37">
        <f t="shared" si="180"/>
        <v>41213</v>
      </c>
      <c r="D3267" s="37" t="s">
        <v>1738</v>
      </c>
      <c r="E3267" s="191">
        <v>41213</v>
      </c>
      <c r="F3267" s="40" t="s">
        <v>1081</v>
      </c>
      <c r="G3267" s="40" t="s">
        <v>1078</v>
      </c>
      <c r="H3267" s="7" t="s">
        <v>1706</v>
      </c>
      <c r="I3267" s="252">
        <v>100</v>
      </c>
      <c r="J3267" s="252">
        <v>12104.464499629854</v>
      </c>
      <c r="K3267" s="38">
        <f t="shared" si="182"/>
        <v>1210446</v>
      </c>
      <c r="L3267" s="39" t="s">
        <v>183</v>
      </c>
      <c r="M3267" s="39" t="s">
        <v>177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</row>
    <row r="3268" spans="1:26" ht="15.75" customHeight="1">
      <c r="A3268" s="204" t="str">
        <f>IF(B3268&lt;&gt;"",IF(AND(B3268&gt;=_TM1,B3268&lt;=_TM2,OR(TH!L3268="1111",TH!M3268="1111")),TH!D3268,""),"")</f>
        <v/>
      </c>
      <c r="B3268" s="36">
        <f t="shared" si="157"/>
        <v>10</v>
      </c>
      <c r="C3268" s="37">
        <f t="shared" si="180"/>
        <v>41213</v>
      </c>
      <c r="D3268" s="37" t="s">
        <v>1738</v>
      </c>
      <c r="E3268" s="191">
        <v>41213</v>
      </c>
      <c r="F3268" s="40" t="s">
        <v>1082</v>
      </c>
      <c r="G3268" s="40" t="s">
        <v>1078</v>
      </c>
      <c r="H3268" s="7" t="s">
        <v>1706</v>
      </c>
      <c r="I3268" s="252">
        <v>200</v>
      </c>
      <c r="J3268" s="252">
        <v>12226.964499629854</v>
      </c>
      <c r="K3268" s="38">
        <f t="shared" si="182"/>
        <v>2445393</v>
      </c>
      <c r="L3268" s="39" t="s">
        <v>183</v>
      </c>
      <c r="M3268" s="39" t="s">
        <v>177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</row>
    <row r="3269" spans="1:26" ht="15.75" customHeight="1">
      <c r="A3269" s="204" t="str">
        <f>IF(B3269&lt;&gt;"",IF(AND(B3269&gt;=_TM1,B3269&lt;=_TM2,OR(TH!L3269="1111",TH!M3269="1111")),TH!D3269,""),"")</f>
        <v/>
      </c>
      <c r="B3269" s="36">
        <f t="shared" si="157"/>
        <v>10</v>
      </c>
      <c r="C3269" s="37">
        <f t="shared" si="180"/>
        <v>41213</v>
      </c>
      <c r="D3269" s="37" t="s">
        <v>1738</v>
      </c>
      <c r="E3269" s="191">
        <v>41213</v>
      </c>
      <c r="F3269" s="40" t="s">
        <v>1083</v>
      </c>
      <c r="G3269" s="40" t="s">
        <v>1078</v>
      </c>
      <c r="H3269" s="7" t="s">
        <v>1706</v>
      </c>
      <c r="I3269" s="252">
        <v>100</v>
      </c>
      <c r="J3269" s="252">
        <v>11936.464499629854</v>
      </c>
      <c r="K3269" s="38">
        <f t="shared" si="182"/>
        <v>1193646</v>
      </c>
      <c r="L3269" s="39" t="s">
        <v>183</v>
      </c>
      <c r="M3269" s="39" t="s">
        <v>177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</row>
    <row r="3270" spans="1:26" ht="15.75" customHeight="1">
      <c r="A3270" s="204" t="str">
        <f>IF(B3270&lt;&gt;"",IF(AND(B3270&gt;=_TM1,B3270&lt;=_TM2,OR(TH!L3270="1111",TH!M3270="1111")),TH!D3270,""),"")</f>
        <v/>
      </c>
      <c r="B3270" s="36">
        <f t="shared" si="157"/>
        <v>10</v>
      </c>
      <c r="C3270" s="37">
        <f t="shared" si="180"/>
        <v>41213</v>
      </c>
      <c r="D3270" s="37" t="s">
        <v>1738</v>
      </c>
      <c r="E3270" s="191">
        <v>41213</v>
      </c>
      <c r="F3270" s="40" t="s">
        <v>1084</v>
      </c>
      <c r="G3270" s="40" t="s">
        <v>1078</v>
      </c>
      <c r="H3270" s="7" t="s">
        <v>1706</v>
      </c>
      <c r="I3270" s="252">
        <v>200</v>
      </c>
      <c r="J3270" s="252">
        <v>12168.964499629854</v>
      </c>
      <c r="K3270" s="38">
        <f t="shared" si="182"/>
        <v>2433793</v>
      </c>
      <c r="L3270" s="39" t="s">
        <v>183</v>
      </c>
      <c r="M3270" s="39" t="s">
        <v>177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</row>
    <row r="3271" spans="1:26" ht="15.75" customHeight="1">
      <c r="A3271" s="204" t="str">
        <f>IF(B3271&lt;&gt;"",IF(AND(B3271&gt;=_TM1,B3271&lt;=_TM2,OR(TH!L3271="1111",TH!M3271="1111")),TH!D3271,""),"")</f>
        <v/>
      </c>
      <c r="B3271" s="36">
        <f t="shared" si="157"/>
        <v>11</v>
      </c>
      <c r="C3271" s="37">
        <f t="shared" si="180"/>
        <v>41226</v>
      </c>
      <c r="D3271" s="37" t="s">
        <v>1738</v>
      </c>
      <c r="E3271" s="191">
        <v>41226</v>
      </c>
      <c r="F3271" s="40" t="s">
        <v>1118</v>
      </c>
      <c r="G3271" s="40" t="s">
        <v>1085</v>
      </c>
      <c r="H3271" s="7" t="s">
        <v>1706</v>
      </c>
      <c r="I3271" s="252">
        <v>1619</v>
      </c>
      <c r="J3271" s="252">
        <v>5171.8375694260239</v>
      </c>
      <c r="K3271" s="38">
        <f t="shared" si="182"/>
        <v>8373205</v>
      </c>
      <c r="L3271" s="39" t="s">
        <v>183</v>
      </c>
      <c r="M3271" s="39" t="s">
        <v>177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</row>
    <row r="3272" spans="1:26" ht="15.75" customHeight="1">
      <c r="A3272" s="204" t="str">
        <f>IF(B3272&lt;&gt;"",IF(AND(B3272&gt;=_TM1,B3272&lt;=_TM2,OR(TH!L3272="1111",TH!M3272="1111")),TH!D3272,""),"")</f>
        <v/>
      </c>
      <c r="B3272" s="36">
        <f t="shared" si="157"/>
        <v>11</v>
      </c>
      <c r="C3272" s="37">
        <f t="shared" si="180"/>
        <v>41226</v>
      </c>
      <c r="D3272" s="37" t="s">
        <v>1738</v>
      </c>
      <c r="E3272" s="191">
        <v>41226</v>
      </c>
      <c r="F3272" s="40" t="s">
        <v>1131</v>
      </c>
      <c r="G3272" s="40" t="s">
        <v>1085</v>
      </c>
      <c r="H3272" s="7" t="s">
        <v>1706</v>
      </c>
      <c r="I3272" s="252">
        <v>608</v>
      </c>
      <c r="J3272" s="252">
        <v>12130.573052261432</v>
      </c>
      <c r="K3272" s="38">
        <f t="shared" si="182"/>
        <v>7375388</v>
      </c>
      <c r="L3272" s="39" t="s">
        <v>183</v>
      </c>
      <c r="M3272" s="39" t="s">
        <v>177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</row>
    <row r="3273" spans="1:26" ht="15.75" customHeight="1">
      <c r="A3273" s="204" t="str">
        <f>IF(B3273&lt;&gt;"",IF(AND(B3273&gt;=_TM1,B3273&lt;=_TM2,OR(TH!L3273="1111",TH!M3273="1111")),TH!D3273,""),"")</f>
        <v/>
      </c>
      <c r="B3273" s="36">
        <f t="shared" si="157"/>
        <v>11</v>
      </c>
      <c r="C3273" s="37">
        <f t="shared" si="180"/>
        <v>41226</v>
      </c>
      <c r="D3273" s="37" t="s">
        <v>1738</v>
      </c>
      <c r="E3273" s="191">
        <v>41226</v>
      </c>
      <c r="F3273" s="40" t="s">
        <v>1117</v>
      </c>
      <c r="G3273" s="40" t="s">
        <v>1085</v>
      </c>
      <c r="H3273" s="7" t="s">
        <v>1706</v>
      </c>
      <c r="I3273" s="252">
        <v>602</v>
      </c>
      <c r="J3273" s="252">
        <v>9175.371476374039</v>
      </c>
      <c r="K3273" s="38">
        <f t="shared" si="182"/>
        <v>5523574</v>
      </c>
      <c r="L3273" s="39" t="s">
        <v>183</v>
      </c>
      <c r="M3273" s="39" t="s">
        <v>177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</row>
    <row r="3274" spans="1:26" ht="15.75" customHeight="1">
      <c r="A3274" s="204" t="str">
        <f>IF(B3274&lt;&gt;"",IF(AND(B3274&gt;=_TM1,B3274&lt;=_TM2,OR(TH!L3274="1111",TH!M3274="1111")),TH!D3274,""),"")</f>
        <v/>
      </c>
      <c r="B3274" s="36">
        <f t="shared" si="157"/>
        <v>11</v>
      </c>
      <c r="C3274" s="37">
        <f t="shared" si="180"/>
        <v>41228</v>
      </c>
      <c r="D3274" s="37" t="s">
        <v>1738</v>
      </c>
      <c r="E3274" s="191">
        <v>41228</v>
      </c>
      <c r="F3274" s="40" t="s">
        <v>1121</v>
      </c>
      <c r="G3274" s="40" t="s">
        <v>1086</v>
      </c>
      <c r="H3274" s="7" t="s">
        <v>1706</v>
      </c>
      <c r="I3274" s="252">
        <v>506</v>
      </c>
      <c r="J3274" s="252">
        <v>7542.0534324361788</v>
      </c>
      <c r="K3274" s="38">
        <f t="shared" si="182"/>
        <v>3816279</v>
      </c>
      <c r="L3274" s="39" t="s">
        <v>183</v>
      </c>
      <c r="M3274" s="39" t="s">
        <v>177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</row>
    <row r="3275" spans="1:26" ht="15.75" customHeight="1">
      <c r="A3275" s="204" t="str">
        <f>IF(B3275&lt;&gt;"",IF(AND(B3275&gt;=_TM1,B3275&lt;=_TM2,OR(TH!L3275="1111",TH!M3275="1111")),TH!D3275,""),"")</f>
        <v/>
      </c>
      <c r="B3275" s="36">
        <f t="shared" si="157"/>
        <v>11</v>
      </c>
      <c r="C3275" s="37">
        <f t="shared" si="180"/>
        <v>41228</v>
      </c>
      <c r="D3275" s="37" t="s">
        <v>1738</v>
      </c>
      <c r="E3275" s="191">
        <v>41228</v>
      </c>
      <c r="F3275" s="40" t="s">
        <v>1130</v>
      </c>
      <c r="G3275" s="40" t="s">
        <v>1086</v>
      </c>
      <c r="H3275" s="7" t="s">
        <v>1706</v>
      </c>
      <c r="I3275" s="252">
        <v>105</v>
      </c>
      <c r="J3275" s="252">
        <v>3303.3883091536632</v>
      </c>
      <c r="K3275" s="38">
        <f t="shared" si="182"/>
        <v>346856</v>
      </c>
      <c r="L3275" s="39" t="s">
        <v>183</v>
      </c>
      <c r="M3275" s="39" t="s">
        <v>177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</row>
    <row r="3276" spans="1:26" ht="15.75" customHeight="1">
      <c r="A3276" s="204" t="str">
        <f>IF(B3276&lt;&gt;"",IF(AND(B3276&gt;=_TM1,B3276&lt;=_TM2,OR(TH!L3276="1111",TH!M3276="1111")),TH!D3276,""),"")</f>
        <v/>
      </c>
      <c r="B3276" s="36">
        <f t="shared" si="157"/>
        <v>11</v>
      </c>
      <c r="C3276" s="37">
        <f t="shared" si="180"/>
        <v>41228</v>
      </c>
      <c r="D3276" s="37" t="s">
        <v>1738</v>
      </c>
      <c r="E3276" s="191">
        <v>41228</v>
      </c>
      <c r="F3276" s="40" t="s">
        <v>1114</v>
      </c>
      <c r="G3276" s="40" t="s">
        <v>1087</v>
      </c>
      <c r="H3276" s="7" t="s">
        <v>1706</v>
      </c>
      <c r="I3276" s="252">
        <v>1005</v>
      </c>
      <c r="J3276" s="252">
        <v>12946.904300624878</v>
      </c>
      <c r="K3276" s="38">
        <f t="shared" si="182"/>
        <v>13011639</v>
      </c>
      <c r="L3276" s="39" t="s">
        <v>183</v>
      </c>
      <c r="M3276" s="39" t="s">
        <v>177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</row>
    <row r="3277" spans="1:26" ht="15.75" customHeight="1">
      <c r="A3277" s="204" t="str">
        <f>IF(B3277&lt;&gt;"",IF(AND(B3277&gt;=_TM1,B3277&lt;=_TM2,OR(TH!L3277="1111",TH!M3277="1111")),TH!D3277,""),"")</f>
        <v/>
      </c>
      <c r="B3277" s="36">
        <f t="shared" si="157"/>
        <v>11</v>
      </c>
      <c r="C3277" s="37">
        <f t="shared" si="180"/>
        <v>41235</v>
      </c>
      <c r="D3277" s="37" t="s">
        <v>1738</v>
      </c>
      <c r="E3277" s="191">
        <v>41235</v>
      </c>
      <c r="F3277" s="40" t="s">
        <v>1129</v>
      </c>
      <c r="G3277" s="40" t="s">
        <v>1088</v>
      </c>
      <c r="H3277" s="7" t="s">
        <v>1706</v>
      </c>
      <c r="I3277" s="252">
        <v>220</v>
      </c>
      <c r="J3277" s="252">
        <v>10591.464499629852</v>
      </c>
      <c r="K3277" s="38">
        <f t="shared" si="182"/>
        <v>2330122</v>
      </c>
      <c r="L3277" s="39" t="s">
        <v>183</v>
      </c>
      <c r="M3277" s="39" t="s">
        <v>177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</row>
    <row r="3278" spans="1:26" ht="15.75" customHeight="1">
      <c r="A3278" s="204" t="str">
        <f>IF(B3278&lt;&gt;"",IF(AND(B3278&gt;=_TM1,B3278&lt;=_TM2,OR(TH!L3278="1111",TH!M3278="1111")),TH!D3278,""),"")</f>
        <v/>
      </c>
      <c r="B3278" s="36">
        <f t="shared" si="157"/>
        <v>11</v>
      </c>
      <c r="C3278" s="37">
        <f t="shared" si="180"/>
        <v>41235</v>
      </c>
      <c r="D3278" s="37" t="s">
        <v>1738</v>
      </c>
      <c r="E3278" s="191">
        <v>41235</v>
      </c>
      <c r="F3278" s="40" t="s">
        <v>1128</v>
      </c>
      <c r="G3278" s="40" t="s">
        <v>1088</v>
      </c>
      <c r="H3278" s="7" t="s">
        <v>1706</v>
      </c>
      <c r="I3278" s="252">
        <v>258</v>
      </c>
      <c r="J3278" s="252">
        <v>12730.410236063963</v>
      </c>
      <c r="K3278" s="38">
        <f t="shared" si="182"/>
        <v>3284446</v>
      </c>
      <c r="L3278" s="39" t="s">
        <v>183</v>
      </c>
      <c r="M3278" s="39" t="s">
        <v>177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</row>
    <row r="3279" spans="1:26" ht="15.75" customHeight="1">
      <c r="A3279" s="204" t="str">
        <f>IF(B3279&lt;&gt;"",IF(AND(B3279&gt;=_TM1,B3279&lt;=_TM2,OR(TH!L3279="1111",TH!M3279="1111")),TH!D3279,""),"")</f>
        <v/>
      </c>
      <c r="B3279" s="36">
        <f t="shared" si="157"/>
        <v>11</v>
      </c>
      <c r="C3279" s="37">
        <f t="shared" si="180"/>
        <v>41235</v>
      </c>
      <c r="D3279" s="37" t="s">
        <v>1738</v>
      </c>
      <c r="E3279" s="191">
        <v>41235</v>
      </c>
      <c r="F3279" s="40" t="s">
        <v>1127</v>
      </c>
      <c r="G3279" s="40" t="s">
        <v>1088</v>
      </c>
      <c r="H3279" s="7" t="s">
        <v>1706</v>
      </c>
      <c r="I3279" s="252">
        <v>295</v>
      </c>
      <c r="J3279" s="252">
        <v>10912.718736917992</v>
      </c>
      <c r="K3279" s="38">
        <f t="shared" si="182"/>
        <v>3219252</v>
      </c>
      <c r="L3279" s="39" t="s">
        <v>183</v>
      </c>
      <c r="M3279" s="39" t="s">
        <v>177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</row>
    <row r="3280" spans="1:26" ht="15.75" customHeight="1">
      <c r="A3280" s="204" t="str">
        <f>IF(B3280&lt;&gt;"",IF(AND(B3280&gt;=_TM1,B3280&lt;=_TM2,OR(TH!L3280="1111",TH!M3280="1111")),TH!D3280,""),"")</f>
        <v/>
      </c>
      <c r="B3280" s="36">
        <f t="shared" si="157"/>
        <v>11</v>
      </c>
      <c r="C3280" s="37">
        <f t="shared" si="180"/>
        <v>41235</v>
      </c>
      <c r="D3280" s="37" t="s">
        <v>1738</v>
      </c>
      <c r="E3280" s="191">
        <v>41235</v>
      </c>
      <c r="F3280" s="40" t="s">
        <v>1126</v>
      </c>
      <c r="G3280" s="40" t="s">
        <v>1088</v>
      </c>
      <c r="H3280" s="7" t="s">
        <v>1706</v>
      </c>
      <c r="I3280" s="252">
        <v>297</v>
      </c>
      <c r="J3280" s="252">
        <v>11674.73722690258</v>
      </c>
      <c r="K3280" s="38">
        <f t="shared" si="182"/>
        <v>3467397</v>
      </c>
      <c r="L3280" s="39" t="s">
        <v>183</v>
      </c>
      <c r="M3280" s="39" t="s">
        <v>177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</row>
    <row r="3281" spans="1:26" ht="15.75" customHeight="1">
      <c r="A3281" s="204" t="str">
        <f>IF(B3281&lt;&gt;"",IF(AND(B3281&gt;=_TM1,B3281&lt;=_TM2,OR(TH!L3281="1111",TH!M3281="1111")),TH!D3281,""),"")</f>
        <v/>
      </c>
      <c r="B3281" s="36">
        <f t="shared" si="157"/>
        <v>12</v>
      </c>
      <c r="C3281" s="37">
        <f t="shared" si="180"/>
        <v>41244</v>
      </c>
      <c r="D3281" s="37" t="s">
        <v>1738</v>
      </c>
      <c r="E3281" s="191">
        <v>41244</v>
      </c>
      <c r="F3281" s="40" t="s">
        <v>1125</v>
      </c>
      <c r="G3281" s="40" t="s">
        <v>1089</v>
      </c>
      <c r="H3281" s="7" t="s">
        <v>1706</v>
      </c>
      <c r="I3281" s="252">
        <v>1050</v>
      </c>
      <c r="J3281" s="252">
        <v>8288.234023439376</v>
      </c>
      <c r="K3281" s="38">
        <f t="shared" si="182"/>
        <v>8702646</v>
      </c>
      <c r="L3281" s="39" t="s">
        <v>183</v>
      </c>
      <c r="M3281" s="39" t="s">
        <v>177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</row>
    <row r="3282" spans="1:26" ht="15.75" customHeight="1">
      <c r="A3282" s="204" t="str">
        <f>IF(B3282&lt;&gt;"",IF(AND(B3282&gt;=_TM1,B3282&lt;=_TM2,OR(TH!L3282="1111",TH!M3282="1111")),TH!D3282,""),"")</f>
        <v/>
      </c>
      <c r="B3282" s="36">
        <f t="shared" si="157"/>
        <v>12</v>
      </c>
      <c r="C3282" s="37">
        <f t="shared" si="180"/>
        <v>41253</v>
      </c>
      <c r="D3282" s="37" t="s">
        <v>1738</v>
      </c>
      <c r="E3282" s="191">
        <v>41253</v>
      </c>
      <c r="F3282" s="40" t="s">
        <v>1124</v>
      </c>
      <c r="G3282" s="40" t="s">
        <v>1090</v>
      </c>
      <c r="H3282" s="7" t="s">
        <v>1706</v>
      </c>
      <c r="I3282" s="252">
        <v>500</v>
      </c>
      <c r="J3282" s="252">
        <v>8984.3464996298535</v>
      </c>
      <c r="K3282" s="38">
        <f t="shared" si="182"/>
        <v>4492173</v>
      </c>
      <c r="L3282" s="39" t="s">
        <v>183</v>
      </c>
      <c r="M3282" s="39" t="s">
        <v>177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</row>
    <row r="3283" spans="1:26" ht="15.75" customHeight="1">
      <c r="A3283" s="204" t="str">
        <f>IF(B3283&lt;&gt;"",IF(AND(B3283&gt;=_TM1,B3283&lt;=_TM2,OR(TH!L3283="1111",TH!M3283="1111")),TH!D3283,""),"")</f>
        <v/>
      </c>
      <c r="B3283" s="36">
        <f t="shared" si="157"/>
        <v>12</v>
      </c>
      <c r="C3283" s="37">
        <f t="shared" si="180"/>
        <v>41253</v>
      </c>
      <c r="D3283" s="37" t="s">
        <v>1738</v>
      </c>
      <c r="E3283" s="191">
        <v>41253</v>
      </c>
      <c r="F3283" s="40" t="s">
        <v>1123</v>
      </c>
      <c r="G3283" s="40" t="s">
        <v>1090</v>
      </c>
      <c r="H3283" s="7" t="s">
        <v>1706</v>
      </c>
      <c r="I3283" s="252">
        <v>483</v>
      </c>
      <c r="J3283" s="252">
        <v>8867.9613940397921</v>
      </c>
      <c r="K3283" s="38">
        <f t="shared" si="182"/>
        <v>4283225</v>
      </c>
      <c r="L3283" s="39" t="s">
        <v>183</v>
      </c>
      <c r="M3283" s="39" t="s">
        <v>177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</row>
    <row r="3284" spans="1:26" ht="15.75" customHeight="1">
      <c r="A3284" s="204" t="str">
        <f>IF(B3284&lt;&gt;"",IF(AND(B3284&gt;=_TM1,B3284&lt;=_TM2,OR(TH!L3284="1111",TH!M3284="1111")),TH!D3284,""),"")</f>
        <v/>
      </c>
      <c r="B3284" s="36">
        <f t="shared" si="157"/>
        <v>12</v>
      </c>
      <c r="C3284" s="37">
        <f t="shared" si="180"/>
        <v>41253</v>
      </c>
      <c r="D3284" s="37" t="s">
        <v>1738</v>
      </c>
      <c r="E3284" s="191">
        <v>41253</v>
      </c>
      <c r="F3284" s="40" t="s">
        <v>1122</v>
      </c>
      <c r="G3284" s="40" t="s">
        <v>1090</v>
      </c>
      <c r="H3284" s="7" t="s">
        <v>1706</v>
      </c>
      <c r="I3284" s="252">
        <v>504</v>
      </c>
      <c r="J3284" s="252">
        <v>7664.9644996298539</v>
      </c>
      <c r="K3284" s="38">
        <f t="shared" si="182"/>
        <v>3863142</v>
      </c>
      <c r="L3284" s="39" t="s">
        <v>183</v>
      </c>
      <c r="M3284" s="39" t="s">
        <v>177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</row>
    <row r="3285" spans="1:26" ht="15.75" customHeight="1">
      <c r="A3285" s="204" t="str">
        <f>IF(B3285&lt;&gt;"",IF(AND(B3285&gt;=_TM1,B3285&lt;=_TM2,OR(TH!L3285="1111",TH!M3285="1111")),TH!D3285,""),"")</f>
        <v/>
      </c>
      <c r="B3285" s="36">
        <f t="shared" si="157"/>
        <v>12</v>
      </c>
      <c r="C3285" s="37">
        <f t="shared" si="180"/>
        <v>41262</v>
      </c>
      <c r="D3285" s="37" t="s">
        <v>1738</v>
      </c>
      <c r="E3285" s="191">
        <v>41262</v>
      </c>
      <c r="F3285" s="40" t="s">
        <v>1121</v>
      </c>
      <c r="G3285" s="40" t="s">
        <v>1092</v>
      </c>
      <c r="H3285" s="7" t="s">
        <v>1706</v>
      </c>
      <c r="I3285" s="252">
        <v>530</v>
      </c>
      <c r="J3285" s="252">
        <v>7541.2343109506082</v>
      </c>
      <c r="K3285" s="38">
        <f t="shared" si="182"/>
        <v>3996854</v>
      </c>
      <c r="L3285" s="39" t="s">
        <v>183</v>
      </c>
      <c r="M3285" s="39" t="s">
        <v>177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</row>
    <row r="3286" spans="1:26" ht="15.75" customHeight="1">
      <c r="A3286" s="204" t="str">
        <f>IF(B3286&lt;&gt;"",IF(AND(B3286&gt;=_TM1,B3286&lt;=_TM2,OR(TH!L3286="1111",TH!M3286="1111")),TH!D3286,""),"")</f>
        <v/>
      </c>
      <c r="B3286" s="36">
        <f t="shared" si="157"/>
        <v>12</v>
      </c>
      <c r="C3286" s="37">
        <f t="shared" si="180"/>
        <v>41262</v>
      </c>
      <c r="D3286" s="37" t="s">
        <v>1738</v>
      </c>
      <c r="E3286" s="191">
        <v>41262</v>
      </c>
      <c r="F3286" s="40" t="s">
        <v>1093</v>
      </c>
      <c r="G3286" s="40" t="s">
        <v>1094</v>
      </c>
      <c r="H3286" s="7" t="s">
        <v>1706</v>
      </c>
      <c r="I3286" s="252">
        <v>664</v>
      </c>
      <c r="J3286" s="252">
        <v>6727.4644996298548</v>
      </c>
      <c r="K3286" s="38">
        <f t="shared" si="182"/>
        <v>4467036</v>
      </c>
      <c r="L3286" s="39" t="s">
        <v>183</v>
      </c>
      <c r="M3286" s="39" t="s">
        <v>177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</row>
    <row r="3287" spans="1:26" ht="15.75" customHeight="1">
      <c r="A3287" s="204" t="str">
        <f>IF(B3287&lt;&gt;"",IF(AND(B3287&gt;=_TM1,B3287&lt;=_TM2,OR(TH!L3287="1111",TH!M3287="1111")),TH!D3287,""),"")</f>
        <v/>
      </c>
      <c r="B3287" s="36">
        <f t="shared" si="157"/>
        <v>12</v>
      </c>
      <c r="C3287" s="37">
        <f t="shared" si="180"/>
        <v>41262</v>
      </c>
      <c r="D3287" s="37" t="s">
        <v>1738</v>
      </c>
      <c r="E3287" s="191">
        <v>41262</v>
      </c>
      <c r="F3287" s="40" t="s">
        <v>1095</v>
      </c>
      <c r="G3287" s="40" t="s">
        <v>1094</v>
      </c>
      <c r="H3287" s="7" t="s">
        <v>1706</v>
      </c>
      <c r="I3287" s="252">
        <v>56</v>
      </c>
      <c r="J3287" s="252">
        <v>6727.4644996298539</v>
      </c>
      <c r="K3287" s="38">
        <f t="shared" si="182"/>
        <v>376738</v>
      </c>
      <c r="L3287" s="39" t="s">
        <v>183</v>
      </c>
      <c r="M3287" s="39" t="s">
        <v>177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</row>
    <row r="3288" spans="1:26" ht="15.75" customHeight="1">
      <c r="A3288" s="204" t="str">
        <f>IF(B3288&lt;&gt;"",IF(AND(B3288&gt;=_TM1,B3288&lt;=_TM2,OR(TH!L3288="1111",TH!M3288="1111")),TH!D3288,""),"")</f>
        <v/>
      </c>
      <c r="B3288" s="36">
        <f t="shared" si="157"/>
        <v>12</v>
      </c>
      <c r="C3288" s="37">
        <f t="shared" si="180"/>
        <v>41262</v>
      </c>
      <c r="D3288" s="37" t="s">
        <v>1738</v>
      </c>
      <c r="E3288" s="191">
        <v>41262</v>
      </c>
      <c r="F3288" s="40" t="s">
        <v>1178</v>
      </c>
      <c r="G3288" s="40" t="s">
        <v>1094</v>
      </c>
      <c r="H3288" s="7" t="s">
        <v>1706</v>
      </c>
      <c r="I3288" s="252">
        <v>93</v>
      </c>
      <c r="J3288" s="252">
        <v>7459.0774028556598</v>
      </c>
      <c r="K3288" s="38">
        <f t="shared" si="182"/>
        <v>693694</v>
      </c>
      <c r="L3288" s="39" t="s">
        <v>183</v>
      </c>
      <c r="M3288" s="39" t="s">
        <v>177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</row>
    <row r="3289" spans="1:26" ht="15.75" customHeight="1">
      <c r="A3289" s="204" t="str">
        <f>IF(B3289&lt;&gt;"",IF(AND(B3289&gt;=_TM1,B3289&lt;=_TM2,OR(TH!L3289="1111",TH!M3289="1111")),TH!D3289,""),"")</f>
        <v/>
      </c>
      <c r="B3289" s="36">
        <f t="shared" si="157"/>
        <v>12</v>
      </c>
      <c r="C3289" s="37">
        <f t="shared" si="180"/>
        <v>41262</v>
      </c>
      <c r="D3289" s="37" t="s">
        <v>1738</v>
      </c>
      <c r="E3289" s="191">
        <v>41262</v>
      </c>
      <c r="F3289" s="40" t="s">
        <v>1120</v>
      </c>
      <c r="G3289" s="40" t="s">
        <v>1094</v>
      </c>
      <c r="H3289" s="7" t="s">
        <v>1706</v>
      </c>
      <c r="I3289" s="252">
        <v>126</v>
      </c>
      <c r="J3289" s="252">
        <v>8737.9406901060429</v>
      </c>
      <c r="K3289" s="38">
        <f t="shared" si="182"/>
        <v>1100981</v>
      </c>
      <c r="L3289" s="39" t="s">
        <v>183</v>
      </c>
      <c r="M3289" s="39" t="s">
        <v>177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</row>
    <row r="3290" spans="1:26" ht="15.75" customHeight="1">
      <c r="A3290" s="204" t="str">
        <f>IF(B3290&lt;&gt;"",IF(AND(B3290&gt;=_TM1,B3290&lt;=_TM2,OR(TH!L3290="1111",TH!M3290="1111")),TH!D3290,""),"")</f>
        <v/>
      </c>
      <c r="B3290" s="36">
        <f t="shared" si="157"/>
        <v>12</v>
      </c>
      <c r="C3290" s="37">
        <f t="shared" si="180"/>
        <v>41263</v>
      </c>
      <c r="D3290" s="37" t="s">
        <v>1738</v>
      </c>
      <c r="E3290" s="191">
        <v>41263</v>
      </c>
      <c r="F3290" s="40" t="s">
        <v>1119</v>
      </c>
      <c r="G3290" s="40" t="s">
        <v>1096</v>
      </c>
      <c r="H3290" s="7" t="s">
        <v>1706</v>
      </c>
      <c r="I3290" s="252">
        <v>219</v>
      </c>
      <c r="J3290" s="252">
        <v>6344.9667827348758</v>
      </c>
      <c r="K3290" s="38">
        <f t="shared" si="182"/>
        <v>1389548</v>
      </c>
      <c r="L3290" s="39" t="s">
        <v>183</v>
      </c>
      <c r="M3290" s="39" t="s">
        <v>177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</row>
    <row r="3291" spans="1:26" ht="15.75" customHeight="1">
      <c r="A3291" s="204" t="str">
        <f>IF(B3291&lt;&gt;"",IF(AND(B3291&gt;=_TM1,B3291&lt;=_TM2,OR(TH!L3291="1111",TH!M3291="1111")),TH!D3291,""),"")</f>
        <v/>
      </c>
      <c r="B3291" s="36">
        <f t="shared" si="157"/>
        <v>12</v>
      </c>
      <c r="C3291" s="37">
        <f t="shared" si="180"/>
        <v>41263</v>
      </c>
      <c r="D3291" s="37" t="s">
        <v>1738</v>
      </c>
      <c r="E3291" s="191">
        <v>41263</v>
      </c>
      <c r="F3291" s="40" t="s">
        <v>1070</v>
      </c>
      <c r="G3291" s="40" t="s">
        <v>1096</v>
      </c>
      <c r="H3291" s="7" t="s">
        <v>1706</v>
      </c>
      <c r="I3291" s="252">
        <v>100</v>
      </c>
      <c r="J3291" s="252">
        <v>6561.4644996298539</v>
      </c>
      <c r="K3291" s="38">
        <f t="shared" si="182"/>
        <v>656146</v>
      </c>
      <c r="L3291" s="39" t="s">
        <v>183</v>
      </c>
      <c r="M3291" s="39" t="s">
        <v>177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</row>
    <row r="3292" spans="1:26" ht="15.75" customHeight="1">
      <c r="A3292" s="204" t="str">
        <f>IF(B3292&lt;&gt;"",IF(AND(B3292&gt;=_TM1,B3292&lt;=_TM2,OR(TH!L3292="1111",TH!M3292="1111")),TH!D3292,""),"")</f>
        <v/>
      </c>
      <c r="B3292" s="36">
        <f t="shared" si="157"/>
        <v>12</v>
      </c>
      <c r="C3292" s="37">
        <f t="shared" si="180"/>
        <v>41263</v>
      </c>
      <c r="D3292" s="37" t="s">
        <v>1738</v>
      </c>
      <c r="E3292" s="191">
        <v>41263</v>
      </c>
      <c r="F3292" s="40" t="s">
        <v>1069</v>
      </c>
      <c r="G3292" s="40" t="s">
        <v>1096</v>
      </c>
      <c r="H3292" s="7" t="s">
        <v>1706</v>
      </c>
      <c r="I3292" s="252">
        <v>104</v>
      </c>
      <c r="J3292" s="252">
        <v>6344.9644996298548</v>
      </c>
      <c r="K3292" s="38">
        <f t="shared" si="182"/>
        <v>659876</v>
      </c>
      <c r="L3292" s="39" t="s">
        <v>183</v>
      </c>
      <c r="M3292" s="39" t="s">
        <v>177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</row>
    <row r="3293" spans="1:26" ht="15.75" customHeight="1">
      <c r="A3293" s="204" t="str">
        <f>IF(B3293&lt;&gt;"",IF(AND(B3293&gt;=_TM1,B3293&lt;=_TM2,OR(TH!L3293="1111",TH!M3293="1111")),TH!D3293,""),"")</f>
        <v/>
      </c>
      <c r="B3293" s="36">
        <f t="shared" si="157"/>
        <v>12</v>
      </c>
      <c r="C3293" s="37">
        <f t="shared" si="180"/>
        <v>41263</v>
      </c>
      <c r="D3293" s="37" t="s">
        <v>1738</v>
      </c>
      <c r="E3293" s="191">
        <v>41263</v>
      </c>
      <c r="F3293" s="40" t="s">
        <v>1178</v>
      </c>
      <c r="G3293" s="40" t="s">
        <v>1096</v>
      </c>
      <c r="H3293" s="7" t="s">
        <v>1706</v>
      </c>
      <c r="I3293" s="252">
        <v>116</v>
      </c>
      <c r="J3293" s="252">
        <v>6561.464499629853</v>
      </c>
      <c r="K3293" s="38">
        <f t="shared" si="182"/>
        <v>761130</v>
      </c>
      <c r="L3293" s="39" t="s">
        <v>183</v>
      </c>
      <c r="M3293" s="39" t="s">
        <v>177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</row>
    <row r="3294" spans="1:26" ht="15.75" customHeight="1">
      <c r="A3294" s="204" t="str">
        <f>IF(B3294&lt;&gt;"",IF(AND(B3294&gt;=_TM1,B3294&lt;=_TM2,OR(TH!L3294="1111",TH!M3294="1111")),TH!D3294,""),"")</f>
        <v/>
      </c>
      <c r="B3294" s="36">
        <f t="shared" si="157"/>
        <v>12</v>
      </c>
      <c r="C3294" s="37">
        <f t="shared" si="180"/>
        <v>41263</v>
      </c>
      <c r="D3294" s="37" t="s">
        <v>1738</v>
      </c>
      <c r="E3294" s="191">
        <v>41263</v>
      </c>
      <c r="F3294" s="40" t="s">
        <v>1097</v>
      </c>
      <c r="G3294" s="40" t="s">
        <v>1096</v>
      </c>
      <c r="H3294" s="7" t="s">
        <v>1706</v>
      </c>
      <c r="I3294" s="252">
        <v>200</v>
      </c>
      <c r="J3294" s="252">
        <v>8588.8644996298535</v>
      </c>
      <c r="K3294" s="38">
        <f t="shared" si="182"/>
        <v>1717773</v>
      </c>
      <c r="L3294" s="39" t="s">
        <v>183</v>
      </c>
      <c r="M3294" s="39" t="s">
        <v>177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</row>
    <row r="3295" spans="1:26" ht="15.75" customHeight="1">
      <c r="A3295" s="204" t="str">
        <f>IF(B3295&lt;&gt;"",IF(AND(B3295&gt;=_TM1,B3295&lt;=_TM2,OR(TH!L3295="1111",TH!M3295="1111")),TH!D3295,""),"")</f>
        <v/>
      </c>
      <c r="B3295" s="36">
        <f t="shared" si="157"/>
        <v>12</v>
      </c>
      <c r="C3295" s="37">
        <f t="shared" si="180"/>
        <v>41265</v>
      </c>
      <c r="D3295" s="37" t="s">
        <v>1738</v>
      </c>
      <c r="E3295" s="191">
        <v>41265</v>
      </c>
      <c r="F3295" s="40" t="s">
        <v>1098</v>
      </c>
      <c r="G3295" s="40" t="s">
        <v>1099</v>
      </c>
      <c r="H3295" s="7" t="s">
        <v>1706</v>
      </c>
      <c r="I3295" s="252">
        <v>200</v>
      </c>
      <c r="J3295" s="252">
        <v>12226.964499629854</v>
      </c>
      <c r="K3295" s="38">
        <f t="shared" si="182"/>
        <v>2445393</v>
      </c>
      <c r="L3295" s="39" t="s">
        <v>183</v>
      </c>
      <c r="M3295" s="39" t="s">
        <v>177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</row>
    <row r="3296" spans="1:26" ht="15.75" customHeight="1">
      <c r="A3296" s="204" t="str">
        <f>IF(B3296&lt;&gt;"",IF(AND(B3296&gt;=_TM1,B3296&lt;=_TM2,OR(TH!L3296="1111",TH!M3296="1111")),TH!D3296,""),"")</f>
        <v/>
      </c>
      <c r="B3296" s="36">
        <f t="shared" si="157"/>
        <v>12</v>
      </c>
      <c r="C3296" s="37">
        <f t="shared" si="180"/>
        <v>41265</v>
      </c>
      <c r="D3296" s="37" t="s">
        <v>1738</v>
      </c>
      <c r="E3296" s="191">
        <v>41265</v>
      </c>
      <c r="F3296" s="40" t="s">
        <v>1118</v>
      </c>
      <c r="G3296" s="40" t="s">
        <v>1100</v>
      </c>
      <c r="H3296" s="7" t="s">
        <v>1706</v>
      </c>
      <c r="I3296" s="252">
        <v>1618</v>
      </c>
      <c r="J3296" s="252">
        <v>5173.2123364654526</v>
      </c>
      <c r="K3296" s="38">
        <f t="shared" si="182"/>
        <v>8370258</v>
      </c>
      <c r="L3296" s="39" t="s">
        <v>183</v>
      </c>
      <c r="M3296" s="39" t="s">
        <v>177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</row>
    <row r="3297" spans="1:26" ht="15.75" customHeight="1">
      <c r="A3297" s="204" t="str">
        <f>IF(B3297&lt;&gt;"",IF(AND(B3297&gt;=_TM1,B3297&lt;=_TM2,OR(TH!L3297="1111",TH!M3297="1111")),TH!D3297,""),"")</f>
        <v/>
      </c>
      <c r="B3297" s="36">
        <f t="shared" si="157"/>
        <v>12</v>
      </c>
      <c r="C3297" s="37">
        <f t="shared" si="180"/>
        <v>41265</v>
      </c>
      <c r="D3297" s="37" t="s">
        <v>1738</v>
      </c>
      <c r="E3297" s="191">
        <v>41265</v>
      </c>
      <c r="F3297" s="40" t="s">
        <v>1117</v>
      </c>
      <c r="G3297" s="40" t="s">
        <v>1100</v>
      </c>
      <c r="H3297" s="7" t="s">
        <v>1706</v>
      </c>
      <c r="I3297" s="252">
        <v>302</v>
      </c>
      <c r="J3297" s="252">
        <v>9154.7525791000535</v>
      </c>
      <c r="K3297" s="38">
        <f t="shared" si="182"/>
        <v>2764735</v>
      </c>
      <c r="L3297" s="39" t="s">
        <v>183</v>
      </c>
      <c r="M3297" s="39" t="s">
        <v>177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</row>
    <row r="3298" spans="1:26" ht="15.75" customHeight="1">
      <c r="A3298" s="204" t="str">
        <f>IF(B3298&lt;&gt;"",IF(AND(B3298&gt;=_TM1,B3298&lt;=_TM2,OR(TH!L3298="1111",TH!M3298="1111")),TH!D3298,""),"")</f>
        <v/>
      </c>
      <c r="B3298" s="36">
        <f t="shared" si="157"/>
        <v>12</v>
      </c>
      <c r="C3298" s="37">
        <f t="shared" si="180"/>
        <v>41272</v>
      </c>
      <c r="D3298" s="37" t="s">
        <v>1738</v>
      </c>
      <c r="E3298" s="191">
        <v>41272</v>
      </c>
      <c r="F3298" s="40" t="s">
        <v>1115</v>
      </c>
      <c r="G3298" s="40" t="s">
        <v>1101</v>
      </c>
      <c r="H3298" s="7" t="s">
        <v>1706</v>
      </c>
      <c r="I3298" s="252">
        <v>97</v>
      </c>
      <c r="J3298" s="252">
        <v>19586.650066640163</v>
      </c>
      <c r="K3298" s="38">
        <f t="shared" si="182"/>
        <v>1899905</v>
      </c>
      <c r="L3298" s="39" t="s">
        <v>183</v>
      </c>
      <c r="M3298" s="39" t="s">
        <v>177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</row>
    <row r="3299" spans="1:26" ht="15.75" customHeight="1">
      <c r="A3299" s="204" t="str">
        <f>IF(B3299&lt;&gt;"",IF(AND(B3299&gt;=_TM1,B3299&lt;=_TM2,OR(TH!L3299="1111",TH!M3299="1111")),TH!D3299,""),"")</f>
        <v/>
      </c>
      <c r="B3299" s="36">
        <f t="shared" si="157"/>
        <v>12</v>
      </c>
      <c r="C3299" s="37">
        <f t="shared" si="180"/>
        <v>41272</v>
      </c>
      <c r="D3299" s="37" t="s">
        <v>1738</v>
      </c>
      <c r="E3299" s="191">
        <v>41272</v>
      </c>
      <c r="F3299" s="40" t="s">
        <v>1116</v>
      </c>
      <c r="G3299" s="40" t="s">
        <v>1101</v>
      </c>
      <c r="H3299" s="7" t="s">
        <v>1706</v>
      </c>
      <c r="I3299" s="252">
        <v>376</v>
      </c>
      <c r="J3299" s="252">
        <v>20605.339499629852</v>
      </c>
      <c r="K3299" s="38">
        <f t="shared" si="182"/>
        <v>7747608</v>
      </c>
      <c r="L3299" s="39" t="s">
        <v>183</v>
      </c>
      <c r="M3299" s="39" t="s">
        <v>177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</row>
    <row r="3300" spans="1:26" ht="15.75" customHeight="1">
      <c r="A3300" s="204" t="str">
        <f>IF(B3300&lt;&gt;"",IF(AND(B3300&gt;=_TM1,B3300&lt;=_TM2,OR(TH!L3300="1111",TH!M3300="1111")),TH!D3300,""),"")</f>
        <v/>
      </c>
      <c r="B3300" s="36">
        <f t="shared" si="157"/>
        <v>12</v>
      </c>
      <c r="C3300" s="37">
        <f t="shared" si="180"/>
        <v>41272</v>
      </c>
      <c r="D3300" s="37" t="s">
        <v>1738</v>
      </c>
      <c r="E3300" s="191">
        <v>41272</v>
      </c>
      <c r="F3300" s="40" t="s">
        <v>1114</v>
      </c>
      <c r="G3300" s="40" t="s">
        <v>1103</v>
      </c>
      <c r="H3300" s="7" t="s">
        <v>1706</v>
      </c>
      <c r="I3300" s="252">
        <v>1020</v>
      </c>
      <c r="J3300" s="252">
        <v>12936.965480022012</v>
      </c>
      <c r="K3300" s="38">
        <f t="shared" si="182"/>
        <v>13195705</v>
      </c>
      <c r="L3300" s="39" t="s">
        <v>183</v>
      </c>
      <c r="M3300" s="39" t="s">
        <v>177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</row>
    <row r="3301" spans="1:26" ht="15.75" customHeight="1">
      <c r="A3301" s="204" t="str">
        <f>IF(B3301&lt;&gt;"",IF(AND(B3301&gt;=_TM1,B3301&lt;=_TM2,OR(TH!L3301="1111",TH!M3301="1111")),TH!D3301,""),"")</f>
        <v/>
      </c>
      <c r="B3301" s="36" t="str">
        <f t="shared" ref="B3301:B3304" si="183">IF(C3301&lt;&gt;"",MONTH(C3301),"")</f>
        <v/>
      </c>
      <c r="C3301" s="37"/>
      <c r="D3301" s="37"/>
      <c r="E3301" s="37"/>
      <c r="F3301" s="40"/>
      <c r="G3301" s="40"/>
      <c r="H3301" s="44"/>
      <c r="I3301" s="252"/>
      <c r="J3301" s="252"/>
      <c r="K3301" s="38"/>
      <c r="L3301" s="39"/>
      <c r="M3301" s="39"/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</row>
    <row r="3302" spans="1:26" ht="15.75" customHeight="1">
      <c r="A3302" s="204" t="str">
        <f>IF(B3302&lt;&gt;"",IF(AND(B3302&gt;=_TM1,B3302&lt;=_TM2,OR(TH!L3302="1111",TH!M3302="1111")),TH!D3302,""),"")</f>
        <v/>
      </c>
      <c r="B3302" s="36" t="str">
        <f t="shared" si="183"/>
        <v/>
      </c>
      <c r="C3302" s="37"/>
      <c r="D3302" s="37"/>
      <c r="E3302" s="37"/>
      <c r="F3302" s="40"/>
      <c r="G3302" s="40"/>
      <c r="H3302" s="44"/>
      <c r="I3302" s="252"/>
      <c r="J3302" s="252"/>
      <c r="K3302" s="38"/>
      <c r="L3302" s="39"/>
      <c r="M3302" s="39"/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</row>
    <row r="3303" spans="1:26" ht="15.75" customHeight="1">
      <c r="A3303" s="204" t="str">
        <f>IF(B3303&lt;&gt;"",IF(AND(B3303&gt;=_TM1,B3303&lt;=_TM2,OR(TH!L3303="1111",TH!M3303="1111")),TH!D3303,""),"")</f>
        <v/>
      </c>
      <c r="B3303" s="36" t="str">
        <f t="shared" si="183"/>
        <v/>
      </c>
      <c r="C3303" s="37"/>
      <c r="D3303" s="37"/>
      <c r="E3303" s="37"/>
      <c r="F3303" s="40"/>
      <c r="G3303" s="40"/>
      <c r="H3303" s="44"/>
      <c r="I3303" s="252"/>
      <c r="J3303" s="252"/>
      <c r="K3303" s="38"/>
      <c r="L3303" s="39"/>
      <c r="M3303" s="39"/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</row>
    <row r="3304" spans="1:26" ht="15.75" customHeight="1">
      <c r="A3304" s="204" t="str">
        <f>IF(B3304&lt;&gt;"",IF(AND(B3304&gt;=_TM1,B3304&lt;=_TM2,OR(TH!L3304="1111",TH!M3304="1111")),TH!D3304,""),"")</f>
        <v/>
      </c>
      <c r="B3304" s="36" t="str">
        <f t="shared" si="183"/>
        <v/>
      </c>
      <c r="C3304" s="37"/>
      <c r="D3304" s="37"/>
      <c r="E3304" s="37"/>
      <c r="F3304" s="40"/>
      <c r="G3304" s="40"/>
      <c r="H3304" s="44"/>
      <c r="I3304" s="252"/>
      <c r="J3304" s="252"/>
      <c r="K3304" s="38"/>
      <c r="L3304" s="39"/>
      <c r="M3304" s="39"/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</row>
    <row r="3306" spans="1:26">
      <c r="J3306" s="869"/>
    </row>
    <row r="3313" spans="8:11">
      <c r="H3313" s="868"/>
    </row>
    <row r="3314" spans="8:11">
      <c r="I3314" s="486">
        <f t="shared" ref="I3314" si="184">SUBTOTAL(9,I10:I3304)</f>
        <v>1083657</v>
      </c>
      <c r="J3314" s="486"/>
      <c r="K3314" s="486">
        <f>SUBTOTAL(9,K10:K3304)</f>
        <v>21743461432</v>
      </c>
    </row>
  </sheetData>
  <autoFilter ref="A9:AB3304"/>
  <sortState ref="A23:AD1799">
    <sortCondition ref="C23:C1799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40" customWidth="1"/>
    <col min="2" max="2" width="11.42578125" style="640" customWidth="1"/>
    <col min="3" max="3" width="13" style="640" customWidth="1"/>
    <col min="4" max="4" width="55.28515625" style="640" customWidth="1"/>
    <col min="5" max="5" width="6" style="640" customWidth="1"/>
    <col min="6" max="7" width="8.5703125" style="640" customWidth="1"/>
    <col min="8" max="9" width="16.8554687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H1" s="641" t="s">
        <v>378</v>
      </c>
      <c r="I1" s="641"/>
    </row>
    <row r="2" spans="1:14">
      <c r="A2" s="640" t="str">
        <f>TH!A2</f>
        <v>Địa chỉ: 1A227/1 Ấp 1, Phạm Văn Hai, Bình Chánh, TPHCM</v>
      </c>
      <c r="H2" s="642" t="s">
        <v>379</v>
      </c>
      <c r="I2" s="642"/>
    </row>
    <row r="3" spans="1:14">
      <c r="H3" s="642" t="s">
        <v>380</v>
      </c>
      <c r="I3" s="642"/>
    </row>
    <row r="4" spans="1:14">
      <c r="H4" s="642"/>
      <c r="I4" s="642"/>
    </row>
    <row r="5" spans="1:14" ht="26.25" customHeight="1">
      <c r="B5" s="643"/>
      <c r="C5" s="643"/>
      <c r="D5" s="644" t="s">
        <v>381</v>
      </c>
      <c r="E5" s="643"/>
      <c r="F5" s="643"/>
      <c r="G5" s="643"/>
      <c r="H5" s="643"/>
      <c r="I5" s="643"/>
      <c r="J5" s="643"/>
      <c r="K5" s="643"/>
    </row>
    <row r="6" spans="1:14">
      <c r="B6" s="645"/>
      <c r="C6" s="645"/>
      <c r="D6" s="646" t="str">
        <f ca="1">$K$9&amp;"   -   Năm:  " &amp;YEAR(A11)</f>
        <v>Quý II   -   Năm:  2012</v>
      </c>
      <c r="E6" s="645"/>
      <c r="F6" s="645"/>
      <c r="G6" s="645"/>
      <c r="H6" s="645"/>
      <c r="I6" s="645"/>
      <c r="J6" s="645"/>
      <c r="K6" s="645"/>
    </row>
    <row r="7" spans="1:14">
      <c r="A7" s="647"/>
      <c r="B7" s="647"/>
      <c r="C7" s="647"/>
      <c r="D7" s="647"/>
      <c r="E7" s="647"/>
      <c r="F7" s="647"/>
      <c r="G7" s="647"/>
      <c r="H7" s="959" t="s">
        <v>125</v>
      </c>
      <c r="I7" s="959"/>
      <c r="J7" s="647"/>
      <c r="K7" s="647"/>
      <c r="M7" s="958" t="s">
        <v>360</v>
      </c>
      <c r="N7" s="958"/>
    </row>
    <row r="8" spans="1:14" ht="23.25" customHeight="1" thickBot="1">
      <c r="A8" s="960" t="s">
        <v>382</v>
      </c>
      <c r="B8" s="962" t="s">
        <v>1</v>
      </c>
      <c r="C8" s="963"/>
      <c r="D8" s="964" t="s">
        <v>0</v>
      </c>
      <c r="E8" s="960" t="s">
        <v>383</v>
      </c>
      <c r="F8" s="957" t="s">
        <v>95</v>
      </c>
      <c r="G8" s="957"/>
      <c r="H8" s="962" t="s">
        <v>21</v>
      </c>
      <c r="I8" s="963"/>
      <c r="J8" s="647"/>
      <c r="K8" s="647"/>
      <c r="M8" s="661">
        <f>IF(K9="Quý I",1,IF(K9="Quý II",4,IF(K9="Quý III",7,IF(K9="Quý IV",10,""))))</f>
        <v>4</v>
      </c>
      <c r="N8" s="661">
        <f>IF(K9="Quý I",3,IF(K9="Quý II",6,IF(K9="Quý III",9,IF(K9="Quý IV",12,""))))</f>
        <v>6</v>
      </c>
    </row>
    <row r="9" spans="1:14" ht="28.5" customHeight="1" thickBot="1">
      <c r="A9" s="961"/>
      <c r="B9" s="638" t="s">
        <v>15</v>
      </c>
      <c r="C9" s="638" t="s">
        <v>32</v>
      </c>
      <c r="D9" s="965"/>
      <c r="E9" s="961"/>
      <c r="F9" s="659" t="s">
        <v>22</v>
      </c>
      <c r="G9" s="659" t="s">
        <v>23</v>
      </c>
      <c r="H9" s="638" t="s">
        <v>384</v>
      </c>
      <c r="I9" s="638" t="s">
        <v>23</v>
      </c>
      <c r="K9" s="178" t="s">
        <v>399</v>
      </c>
    </row>
    <row r="10" spans="1:14" ht="21.75" customHeight="1">
      <c r="A10" s="648"/>
      <c r="B10" s="648"/>
      <c r="C10" s="648"/>
      <c r="D10" s="649" t="s">
        <v>389</v>
      </c>
      <c r="E10" s="660"/>
      <c r="F10" s="648"/>
      <c r="G10" s="648"/>
      <c r="H10" s="656">
        <f>SUMIF(_M,"&lt;"&amp;$M$8,TH)</f>
        <v>8479695150</v>
      </c>
      <c r="I10" s="656">
        <f>SUMIF(_M,"&lt;"&amp;$M$8,TH)</f>
        <v>8479695150</v>
      </c>
    </row>
    <row r="11" spans="1:14" ht="21.75" customHeight="1">
      <c r="A11" s="694">
        <f ca="1">IF(ROWS($1:1)&gt;COUNT(Dong6),"",OFFSET(TH!C$1,SMALL(Dong6,ROWS($1:1)),))</f>
        <v>41000</v>
      </c>
      <c r="B11" s="693" t="str">
        <f ca="1">IF(ROWS($1:1)&gt;COUNT(Dong6),"",OFFSET(TH!D$1,SMALL(Dong6,ROWS($1:1)),))</f>
        <v>CTGS</v>
      </c>
      <c r="C11" s="694">
        <f ca="1">IF(ROWS($1:1)&gt;COUNT(Dong6),"",OFFSET(TH!E$1,SMALL(Dong6,ROWS($1:1)),))</f>
        <v>41000</v>
      </c>
      <c r="D11" s="695" t="str">
        <f ca="1">IF(ROWS($1:1)&gt;COUNT(Dong6),"",OFFSET(TH!F$1,SMALL(Dong6,ROWS($1:1)),))</f>
        <v>Trích khấu hao TSCĐ Hữu hình</v>
      </c>
      <c r="E11" s="693">
        <f t="shared" ref="E11:E51" ca="1" si="0">IF(D11&lt;&gt;"",ROW()-10,"")</f>
        <v>1</v>
      </c>
      <c r="F11" s="696" t="str">
        <f ca="1">IF(ROWS($1:1)&gt;COUNT(Dong6),"",OFFSET(TH!L$1,SMALL(Dong6,ROWS($1:1)),))</f>
        <v>154</v>
      </c>
      <c r="G11" s="696" t="str">
        <f ca="1">IF(ROWS($1:1)&gt;COUNT(Dong6),"",OFFSET(TH!M$1,SMALL(Dong6,ROWS($1:1)),))</f>
        <v>2141</v>
      </c>
      <c r="H11" s="697">
        <f ca="1">IF(ROWS($1:1)&gt;COUNT(Dong6),"",OFFSET(TH!K$1,SMALL(Dong6,ROWS($1:1)),))</f>
        <v>18250000</v>
      </c>
      <c r="I11" s="697">
        <f ca="1">IF(ROWS($1:1)&gt;COUNT(Dong6),"",OFFSET(TH!K$1,SMALL(Dong6,ROWS($1:1)),))</f>
        <v>18250000</v>
      </c>
    </row>
    <row r="12" spans="1:14" ht="21.75" customHeight="1">
      <c r="A12" s="694">
        <f ca="1">IF(ROWS($1:2)&gt;COUNT(Dong6),"",OFFSET(TH!C$1,SMALL(Dong6,ROWS($1:2)),))</f>
        <v>41000</v>
      </c>
      <c r="B12" s="693" t="str">
        <f ca="1">IF(ROWS($1:2)&gt;COUNT(Dong6),"",OFFSET(TH!D$1,SMALL(Dong6,ROWS($1:2)),))</f>
        <v>C01</v>
      </c>
      <c r="C12" s="694">
        <f ca="1">IF(ROWS($1:2)&gt;COUNT(Dong6),"",OFFSET(TH!E$1,SMALL(Dong6,ROWS($1:2)),))</f>
        <v>40987</v>
      </c>
      <c r="D12" s="695" t="str">
        <f ca="1">IF(ROWS($1:2)&gt;COUNT(Dong6),"",OFFSET(TH!F$1,SMALL(Dong6,ROWS($1:2)),))</f>
        <v>Cước dịch vụ viễn thông TPHCM</v>
      </c>
      <c r="E12" s="693">
        <f t="shared" ca="1" si="0"/>
        <v>2</v>
      </c>
      <c r="F12" s="696" t="str">
        <f ca="1">IF(ROWS($1:2)&gt;COUNT(Dong6),"",OFFSET(TH!L$1,SMALL(Dong6,ROWS($1:2)),))</f>
        <v>642</v>
      </c>
      <c r="G12" s="696" t="str">
        <f ca="1">IF(ROWS($1:2)&gt;COUNT(Dong6),"",OFFSET(TH!M$1,SMALL(Dong6,ROWS($1:2)),))</f>
        <v>1111</v>
      </c>
      <c r="H12" s="697">
        <f ca="1">IF(ROWS($1:2)&gt;COUNT(Dong6),"",OFFSET(TH!K$1,SMALL(Dong6,ROWS($1:2)),))</f>
        <v>904950</v>
      </c>
      <c r="I12" s="697">
        <f ca="1">IF(ROWS($1:2)&gt;COUNT(Dong6),"",OFFSET(TH!K$1,SMALL(Dong6,ROWS($1:2)),))</f>
        <v>904950</v>
      </c>
    </row>
    <row r="13" spans="1:14" ht="21.75" customHeight="1">
      <c r="A13" s="694">
        <f ca="1">IF(ROWS($1:3)&gt;COUNT(Dong6),"",OFFSET(TH!C$1,SMALL(Dong6,ROWS($1:3)),))</f>
        <v>41000</v>
      </c>
      <c r="B13" s="693" t="str">
        <f ca="1">IF(ROWS($1:3)&gt;COUNT(Dong6),"",OFFSET(TH!D$1,SMALL(Dong6,ROWS($1:3)),))</f>
        <v>C01</v>
      </c>
      <c r="C13" s="694">
        <f ca="1">IF(ROWS($1:3)&gt;COUNT(Dong6),"",OFFSET(TH!E$1,SMALL(Dong6,ROWS($1:3)),))</f>
        <v>40987</v>
      </c>
      <c r="D13" s="695" t="str">
        <f ca="1">IF(ROWS($1:3)&gt;COUNT(Dong6),"",OFFSET(TH!F$1,SMALL(Dong6,ROWS($1:3)),))</f>
        <v>VAT Cước dịch vụ viễn thông TPHCM</v>
      </c>
      <c r="E13" s="693">
        <f t="shared" ca="1" si="0"/>
        <v>3</v>
      </c>
      <c r="F13" s="696" t="str">
        <f ca="1">IF(ROWS($1:3)&gt;COUNT(Dong6),"",OFFSET(TH!L$1,SMALL(Dong6,ROWS($1:3)),))</f>
        <v>1331</v>
      </c>
      <c r="G13" s="696" t="str">
        <f ca="1">IF(ROWS($1:3)&gt;COUNT(Dong6),"",OFFSET(TH!M$1,SMALL(Dong6,ROWS($1:3)),))</f>
        <v>1111</v>
      </c>
      <c r="H13" s="697">
        <f ca="1">IF(ROWS($1:3)&gt;COUNT(Dong6),"",OFFSET(TH!K$1,SMALL(Dong6,ROWS($1:3)),))</f>
        <v>90494</v>
      </c>
      <c r="I13" s="697">
        <f ca="1">IF(ROWS($1:3)&gt;COUNT(Dong6),"",OFFSET(TH!K$1,SMALL(Dong6,ROWS($1:3)),))</f>
        <v>90494</v>
      </c>
    </row>
    <row r="14" spans="1:14" ht="21.75" customHeight="1">
      <c r="A14" s="694">
        <f ca="1">IF(ROWS($1:4)&gt;COUNT(Dong6),"",OFFSET(TH!C$1,SMALL(Dong6,ROWS($1:4)),))</f>
        <v>41002</v>
      </c>
      <c r="B14" s="693" t="str">
        <f ca="1">IF(ROWS($1:4)&gt;COUNT(Dong6),"",OFFSET(TH!D$1,SMALL(Dong6,ROWS($1:4)),))</f>
        <v>GBC</v>
      </c>
      <c r="C14" s="694">
        <f ca="1">IF(ROWS($1:4)&gt;COUNT(Dong6),"",OFFSET(TH!E$1,SMALL(Dong6,ROWS($1:4)),))</f>
        <v>41002</v>
      </c>
      <c r="D14" s="695" t="str">
        <f ca="1">IF(ROWS($1:4)&gt;COUNT(Dong6),"",OFFSET(TH!F$1,SMALL(Dong6,ROWS($1:4)),))</f>
        <v>Thu tiền hàng</v>
      </c>
      <c r="E14" s="693">
        <f t="shared" ca="1" si="0"/>
        <v>4</v>
      </c>
      <c r="F14" s="696" t="str">
        <f ca="1">IF(ROWS($1:4)&gt;COUNT(Dong6),"",OFFSET(TH!L$1,SMALL(Dong6,ROWS($1:4)),))</f>
        <v>1121</v>
      </c>
      <c r="G14" s="696" t="str">
        <f ca="1">IF(ROWS($1:4)&gt;COUNT(Dong6),"",OFFSET(TH!M$1,SMALL(Dong6,ROWS($1:4)),))</f>
        <v>131</v>
      </c>
      <c r="H14" s="697">
        <f ca="1">IF(ROWS($1:4)&gt;COUNT(Dong6),"",OFFSET(TH!K$1,SMALL(Dong6,ROWS($1:4)),))</f>
        <v>37537610</v>
      </c>
      <c r="I14" s="697">
        <f ca="1">IF(ROWS($1:4)&gt;COUNT(Dong6),"",OFFSET(TH!K$1,SMALL(Dong6,ROWS($1:4)),))</f>
        <v>37537610</v>
      </c>
    </row>
    <row r="15" spans="1:14" ht="21.75" customHeight="1">
      <c r="A15" s="694">
        <f ca="1">IF(ROWS($1:5)&gt;COUNT(Dong6),"",OFFSET(TH!C$1,SMALL(Dong6,ROWS($1:5)),))</f>
        <v>41002</v>
      </c>
      <c r="B15" s="693" t="str">
        <f ca="1">IF(ROWS($1:5)&gt;COUNT(Dong6),"",OFFSET(TH!D$1,SMALL(Dong6,ROWS($1:5)),))</f>
        <v>T01</v>
      </c>
      <c r="C15" s="694">
        <f ca="1">IF(ROWS($1:5)&gt;COUNT(Dong6),"",OFFSET(TH!E$1,SMALL(Dong6,ROWS($1:5)),))</f>
        <v>41002</v>
      </c>
      <c r="D15" s="695" t="str">
        <f ca="1">IF(ROWS($1:5)&gt;COUNT(Dong6),"",OFFSET(TH!F$1,SMALL(Dong6,ROWS($1:5)),))</f>
        <v>Chi Sec nhập quỹ tiền mặt</v>
      </c>
      <c r="E15" s="693">
        <f t="shared" ca="1" si="0"/>
        <v>5</v>
      </c>
      <c r="F15" s="696" t="str">
        <f ca="1">IF(ROWS($1:5)&gt;COUNT(Dong6),"",OFFSET(TH!L$1,SMALL(Dong6,ROWS($1:5)),))</f>
        <v>1111</v>
      </c>
      <c r="G15" s="696" t="str">
        <f ca="1">IF(ROWS($1:5)&gt;COUNT(Dong6),"",OFFSET(TH!M$1,SMALL(Dong6,ROWS($1:5)),))</f>
        <v>1121</v>
      </c>
      <c r="H15" s="697">
        <f ca="1">IF(ROWS($1:5)&gt;COUNT(Dong6),"",OFFSET(TH!K$1,SMALL(Dong6,ROWS($1:5)),))</f>
        <v>21500000</v>
      </c>
      <c r="I15" s="697">
        <f ca="1">IF(ROWS($1:5)&gt;COUNT(Dong6),"",OFFSET(TH!K$1,SMALL(Dong6,ROWS($1:5)),))</f>
        <v>21500000</v>
      </c>
    </row>
    <row r="16" spans="1:14" ht="21.75" customHeight="1">
      <c r="A16" s="694">
        <f ca="1">IF(ROWS($1:6)&gt;COUNT(Dong6),"",OFFSET(TH!C$1,SMALL(Dong6,ROWS($1:6)),))</f>
        <v>41003</v>
      </c>
      <c r="B16" s="693" t="str">
        <f ca="1">IF(ROWS($1:6)&gt;COUNT(Dong6),"",OFFSET(TH!D$1,SMALL(Dong6,ROWS($1:6)),))</f>
        <v>TP/X01</v>
      </c>
      <c r="C16" s="694">
        <f ca="1">IF(ROWS($1:6)&gt;COUNT(Dong6),"",OFFSET(TH!E$1,SMALL(Dong6,ROWS($1:6)),))</f>
        <v>41003</v>
      </c>
      <c r="D16" s="695" t="str">
        <f ca="1">IF(ROWS($1:6)&gt;COUNT(Dong6),"",OFFSET(TH!F$1,SMALL(Dong6,ROWS($1:6)),))</f>
        <v>Thùng (57x38x33)</v>
      </c>
      <c r="E16" s="693">
        <f t="shared" ca="1" si="0"/>
        <v>6</v>
      </c>
      <c r="F16" s="696" t="str">
        <f ca="1">IF(ROWS($1:6)&gt;COUNT(Dong6),"",OFFSET(TH!L$1,SMALL(Dong6,ROWS($1:6)),))</f>
        <v>131</v>
      </c>
      <c r="G16" s="696" t="str">
        <f ca="1">IF(ROWS($1:6)&gt;COUNT(Dong6),"",OFFSET(TH!M$1,SMALL(Dong6,ROWS($1:6)),))</f>
        <v>5112</v>
      </c>
      <c r="H16" s="697">
        <f ca="1">IF(ROWS($1:6)&gt;COUNT(Dong6),"",OFFSET(TH!K$1,SMALL(Dong6,ROWS($1:6)),))</f>
        <v>5510000</v>
      </c>
      <c r="I16" s="697">
        <f ca="1">IF(ROWS($1:6)&gt;COUNT(Dong6),"",OFFSET(TH!K$1,SMALL(Dong6,ROWS($1:6)),))</f>
        <v>5510000</v>
      </c>
    </row>
    <row r="17" spans="1:9" ht="21.75" customHeight="1">
      <c r="A17" s="694">
        <f ca="1">IF(ROWS($1:7)&gt;COUNT(Dong6),"",OFFSET(TH!C$1,SMALL(Dong6,ROWS($1:7)),))</f>
        <v>41003</v>
      </c>
      <c r="B17" s="693" t="str">
        <f ca="1">IF(ROWS($1:7)&gt;COUNT(Dong6),"",OFFSET(TH!D$1,SMALL(Dong6,ROWS($1:7)),))</f>
        <v>TP/X01</v>
      </c>
      <c r="C17" s="694">
        <f ca="1">IF(ROWS($1:7)&gt;COUNT(Dong6),"",OFFSET(TH!E$1,SMALL(Dong6,ROWS($1:7)),))</f>
        <v>41003</v>
      </c>
      <c r="D17" s="695" t="str">
        <f ca="1">IF(ROWS($1:7)&gt;COUNT(Dong6),"",OFFSET(TH!F$1,SMALL(Dong6,ROWS($1:7)),))</f>
        <v>Thùng (43x29x29)</v>
      </c>
      <c r="E17" s="693">
        <f t="shared" ca="1" si="0"/>
        <v>7</v>
      </c>
      <c r="F17" s="696" t="str">
        <f ca="1">IF(ROWS($1:7)&gt;COUNT(Dong6),"",OFFSET(TH!L$1,SMALL(Dong6,ROWS($1:7)),))</f>
        <v>131</v>
      </c>
      <c r="G17" s="696" t="str">
        <f ca="1">IF(ROWS($1:7)&gt;COUNT(Dong6),"",OFFSET(TH!M$1,SMALL(Dong6,ROWS($1:7)),))</f>
        <v>5112</v>
      </c>
      <c r="H17" s="697">
        <f ca="1">IF(ROWS($1:7)&gt;COUNT(Dong6),"",OFFSET(TH!K$1,SMALL(Dong6,ROWS($1:7)),))</f>
        <v>1447000</v>
      </c>
      <c r="I17" s="697">
        <f ca="1">IF(ROWS($1:7)&gt;COUNT(Dong6),"",OFFSET(TH!K$1,SMALL(Dong6,ROWS($1:7)),))</f>
        <v>1447000</v>
      </c>
    </row>
    <row r="18" spans="1:9" ht="21.75" customHeight="1">
      <c r="A18" s="694">
        <f ca="1">IF(ROWS($1:8)&gt;COUNT(Dong6),"",OFFSET(TH!C$1,SMALL(Dong6,ROWS($1:8)),))</f>
        <v>41003</v>
      </c>
      <c r="B18" s="693" t="str">
        <f ca="1">IF(ROWS($1:8)&gt;COUNT(Dong6),"",OFFSET(TH!D$1,SMALL(Dong6,ROWS($1:8)),))</f>
        <v>TP/X01</v>
      </c>
      <c r="C18" s="694">
        <f ca="1">IF(ROWS($1:8)&gt;COUNT(Dong6),"",OFFSET(TH!E$1,SMALL(Dong6,ROWS($1:8)),))</f>
        <v>41003</v>
      </c>
      <c r="D18" s="695" t="str">
        <f ca="1">IF(ROWS($1:8)&gt;COUNT(Dong6),"",OFFSET(TH!F$1,SMALL(Dong6,ROWS($1:8)),))</f>
        <v>VAT thùng</v>
      </c>
      <c r="E18" s="693">
        <f t="shared" ca="1" si="0"/>
        <v>8</v>
      </c>
      <c r="F18" s="696" t="str">
        <f ca="1">IF(ROWS($1:8)&gt;COUNT(Dong6),"",OFFSET(TH!L$1,SMALL(Dong6,ROWS($1:8)),))</f>
        <v>131</v>
      </c>
      <c r="G18" s="696" t="str">
        <f ca="1">IF(ROWS($1:8)&gt;COUNT(Dong6),"",OFFSET(TH!M$1,SMALL(Dong6,ROWS($1:8)),))</f>
        <v>3331</v>
      </c>
      <c r="H18" s="697">
        <f ca="1">IF(ROWS($1:8)&gt;COUNT(Dong6),"",OFFSET(TH!K$1,SMALL(Dong6,ROWS($1:8)),))</f>
        <v>695700</v>
      </c>
      <c r="I18" s="697">
        <f ca="1">IF(ROWS($1:8)&gt;COUNT(Dong6),"",OFFSET(TH!K$1,SMALL(Dong6,ROWS($1:8)),))</f>
        <v>695700</v>
      </c>
    </row>
    <row r="19" spans="1:9" ht="21.75" customHeight="1">
      <c r="A19" s="694">
        <f ca="1">IF(ROWS($1:9)&gt;COUNT(Dong6),"",OFFSET(TH!C$1,SMALL(Dong6,ROWS($1:9)),))</f>
        <v>41003</v>
      </c>
      <c r="B19" s="693" t="str">
        <f ca="1">IF(ROWS($1:9)&gt;COUNT(Dong6),"",OFFSET(TH!D$1,SMALL(Dong6,ROWS($1:9)),))</f>
        <v>T02</v>
      </c>
      <c r="C19" s="694">
        <f ca="1">IF(ROWS($1:9)&gt;COUNT(Dong6),"",OFFSET(TH!E$1,SMALL(Dong6,ROWS($1:9)),))</f>
        <v>41003</v>
      </c>
      <c r="D19" s="695" t="str">
        <f ca="1">IF(ROWS($1:9)&gt;COUNT(Dong6),"",OFFSET(TH!F$1,SMALL(Dong6,ROWS($1:9)),))</f>
        <v>Thu tiền hàng</v>
      </c>
      <c r="E19" s="693">
        <f t="shared" ca="1" si="0"/>
        <v>9</v>
      </c>
      <c r="F19" s="696" t="str">
        <f ca="1">IF(ROWS($1:9)&gt;COUNT(Dong6),"",OFFSET(TH!L$1,SMALL(Dong6,ROWS($1:9)),))</f>
        <v>1111</v>
      </c>
      <c r="G19" s="696" t="str">
        <f ca="1">IF(ROWS($1:9)&gt;COUNT(Dong6),"",OFFSET(TH!M$1,SMALL(Dong6,ROWS($1:9)),))</f>
        <v>131</v>
      </c>
      <c r="H19" s="697">
        <f ca="1">IF(ROWS($1:9)&gt;COUNT(Dong6),"",OFFSET(TH!K$1,SMALL(Dong6,ROWS($1:9)),))</f>
        <v>7652700</v>
      </c>
      <c r="I19" s="697">
        <f ca="1">IF(ROWS($1:9)&gt;COUNT(Dong6),"",OFFSET(TH!K$1,SMALL(Dong6,ROWS($1:9)),))</f>
        <v>7652700</v>
      </c>
    </row>
    <row r="20" spans="1:9" ht="21.75" customHeight="1">
      <c r="A20" s="694">
        <f ca="1">IF(ROWS($1:10)&gt;COUNT(Dong6),"",OFFSET(TH!C$1,SMALL(Dong6,ROWS($1:10)),))</f>
        <v>41003</v>
      </c>
      <c r="B20" s="693" t="str">
        <f ca="1">IF(ROWS($1:10)&gt;COUNT(Dong6),"",OFFSET(TH!D$1,SMALL(Dong6,ROWS($1:10)),))</f>
        <v>TP/X02</v>
      </c>
      <c r="C20" s="694">
        <f ca="1">IF(ROWS($1:10)&gt;COUNT(Dong6),"",OFFSET(TH!E$1,SMALL(Dong6,ROWS($1:10)),))</f>
        <v>41003</v>
      </c>
      <c r="D20" s="695" t="str">
        <f ca="1">IF(ROWS($1:10)&gt;COUNT(Dong6),"",OFFSET(TH!F$1,SMALL(Dong6,ROWS($1:10)),))</f>
        <v>Thùng (43x31x24)</v>
      </c>
      <c r="E20" s="693">
        <f t="shared" ca="1" si="0"/>
        <v>10</v>
      </c>
      <c r="F20" s="696" t="str">
        <f ca="1">IF(ROWS($1:10)&gt;COUNT(Dong6),"",OFFSET(TH!L$1,SMALL(Dong6,ROWS($1:10)),))</f>
        <v>131</v>
      </c>
      <c r="G20" s="696" t="str">
        <f ca="1">IF(ROWS($1:10)&gt;COUNT(Dong6),"",OFFSET(TH!M$1,SMALL(Dong6,ROWS($1:10)),))</f>
        <v>5112</v>
      </c>
      <c r="H20" s="697">
        <f ca="1">IF(ROWS($1:10)&gt;COUNT(Dong6),"",OFFSET(TH!K$1,SMALL(Dong6,ROWS($1:10)),))</f>
        <v>3768024</v>
      </c>
      <c r="I20" s="697">
        <f ca="1">IF(ROWS($1:10)&gt;COUNT(Dong6),"",OFFSET(TH!K$1,SMALL(Dong6,ROWS($1:10)),))</f>
        <v>3768024</v>
      </c>
    </row>
    <row r="21" spans="1:9" ht="21.75" customHeight="1">
      <c r="A21" s="694">
        <f ca="1">IF(ROWS($1:11)&gt;COUNT(Dong6),"",OFFSET(TH!C$1,SMALL(Dong6,ROWS($1:11)),))</f>
        <v>41003</v>
      </c>
      <c r="B21" s="693" t="str">
        <f ca="1">IF(ROWS($1:11)&gt;COUNT(Dong6),"",OFFSET(TH!D$1,SMALL(Dong6,ROWS($1:11)),))</f>
        <v>TP/X02</v>
      </c>
      <c r="C21" s="694">
        <f ca="1">IF(ROWS($1:11)&gt;COUNT(Dong6),"",OFFSET(TH!E$1,SMALL(Dong6,ROWS($1:11)),))</f>
        <v>41003</v>
      </c>
      <c r="D21" s="695" t="str">
        <f ca="1">IF(ROWS($1:11)&gt;COUNT(Dong6),"",OFFSET(TH!F$1,SMALL(Dong6,ROWS($1:11)),))</f>
        <v>VAT thùng</v>
      </c>
      <c r="E21" s="693">
        <f t="shared" ca="1" si="0"/>
        <v>11</v>
      </c>
      <c r="F21" s="696" t="str">
        <f ca="1">IF(ROWS($1:11)&gt;COUNT(Dong6),"",OFFSET(TH!L$1,SMALL(Dong6,ROWS($1:11)),))</f>
        <v>131</v>
      </c>
      <c r="G21" s="696" t="str">
        <f ca="1">IF(ROWS($1:11)&gt;COUNT(Dong6),"",OFFSET(TH!M$1,SMALL(Dong6,ROWS($1:11)),))</f>
        <v>3331</v>
      </c>
      <c r="H21" s="697">
        <f ca="1">IF(ROWS($1:11)&gt;COUNT(Dong6),"",OFFSET(TH!K$1,SMALL(Dong6,ROWS($1:11)),))</f>
        <v>376802</v>
      </c>
      <c r="I21" s="697">
        <f ca="1">IF(ROWS($1:11)&gt;COUNT(Dong6),"",OFFSET(TH!K$1,SMALL(Dong6,ROWS($1:11)),))</f>
        <v>376802</v>
      </c>
    </row>
    <row r="22" spans="1:9" ht="21.75" customHeight="1">
      <c r="A22" s="694">
        <f ca="1">IF(ROWS($1:12)&gt;COUNT(Dong6),"",OFFSET(TH!C$1,SMALL(Dong6,ROWS($1:12)),))</f>
        <v>41004</v>
      </c>
      <c r="B22" s="693" t="str">
        <f ca="1">IF(ROWS($1:12)&gt;COUNT(Dong6),"",OFFSET(TH!D$1,SMALL(Dong6,ROWS($1:12)),))</f>
        <v>GBC</v>
      </c>
      <c r="C22" s="694">
        <f ca="1">IF(ROWS($1:12)&gt;COUNT(Dong6),"",OFFSET(TH!E$1,SMALL(Dong6,ROWS($1:12)),))</f>
        <v>41004</v>
      </c>
      <c r="D22" s="695" t="str">
        <f ca="1">IF(ROWS($1:12)&gt;COUNT(Dong6),"",OFFSET(TH!F$1,SMALL(Dong6,ROWS($1:12)),))</f>
        <v>Thu tiền hàng</v>
      </c>
      <c r="E22" s="693">
        <f t="shared" ca="1" si="0"/>
        <v>12</v>
      </c>
      <c r="F22" s="696" t="str">
        <f ca="1">IF(ROWS($1:12)&gt;COUNT(Dong6),"",OFFSET(TH!L$1,SMALL(Dong6,ROWS($1:12)),))</f>
        <v>1121</v>
      </c>
      <c r="G22" s="696" t="str">
        <f ca="1">IF(ROWS($1:12)&gt;COUNT(Dong6),"",OFFSET(TH!M$1,SMALL(Dong6,ROWS($1:12)),))</f>
        <v>131</v>
      </c>
      <c r="H22" s="697">
        <f ca="1">IF(ROWS($1:12)&gt;COUNT(Dong6),"",OFFSET(TH!K$1,SMALL(Dong6,ROWS($1:12)),))</f>
        <v>57158000</v>
      </c>
      <c r="I22" s="697">
        <f ca="1">IF(ROWS($1:12)&gt;COUNT(Dong6),"",OFFSET(TH!K$1,SMALL(Dong6,ROWS($1:12)),))</f>
        <v>57158000</v>
      </c>
    </row>
    <row r="23" spans="1:9" ht="21.75" customHeight="1">
      <c r="A23" s="694">
        <f ca="1">IF(ROWS($1:13)&gt;COUNT(Dong6),"",OFFSET(TH!C$1,SMALL(Dong6,ROWS($1:13)),))</f>
        <v>41004</v>
      </c>
      <c r="B23" s="693" t="str">
        <f ca="1">IF(ROWS($1:13)&gt;COUNT(Dong6),"",OFFSET(TH!D$1,SMALL(Dong6,ROWS($1:13)),))</f>
        <v>T03</v>
      </c>
      <c r="C23" s="694">
        <f ca="1">IF(ROWS($1:13)&gt;COUNT(Dong6),"",OFFSET(TH!E$1,SMALL(Dong6,ROWS($1:13)),))</f>
        <v>41004</v>
      </c>
      <c r="D23" s="695" t="str">
        <f ca="1">IF(ROWS($1:13)&gt;COUNT(Dong6),"",OFFSET(TH!F$1,SMALL(Dong6,ROWS($1:13)),))</f>
        <v>Chi Sec nhập quỹ tiền mặt</v>
      </c>
      <c r="E23" s="693">
        <f t="shared" ca="1" si="0"/>
        <v>13</v>
      </c>
      <c r="F23" s="696" t="str">
        <f ca="1">IF(ROWS($1:13)&gt;COUNT(Dong6),"",OFFSET(TH!L$1,SMALL(Dong6,ROWS($1:13)),))</f>
        <v>1111</v>
      </c>
      <c r="G23" s="696" t="str">
        <f ca="1">IF(ROWS($1:13)&gt;COUNT(Dong6),"",OFFSET(TH!M$1,SMALL(Dong6,ROWS($1:13)),))</f>
        <v>1121</v>
      </c>
      <c r="H23" s="697">
        <f ca="1">IF(ROWS($1:13)&gt;COUNT(Dong6),"",OFFSET(TH!K$1,SMALL(Dong6,ROWS($1:13)),))</f>
        <v>37500000</v>
      </c>
      <c r="I23" s="697">
        <f ca="1">IF(ROWS($1:13)&gt;COUNT(Dong6),"",OFFSET(TH!K$1,SMALL(Dong6,ROWS($1:13)),))</f>
        <v>37500000</v>
      </c>
    </row>
    <row r="24" spans="1:9" ht="21.75" customHeight="1">
      <c r="A24" s="694">
        <f ca="1">IF(ROWS($1:14)&gt;COUNT(Dong6),"",OFFSET(TH!C$1,SMALL(Dong6,ROWS($1:14)),))</f>
        <v>41004</v>
      </c>
      <c r="B24" s="693" t="str">
        <f ca="1">IF(ROWS($1:14)&gt;COUNT(Dong6),"",OFFSET(TH!D$1,SMALL(Dong6,ROWS($1:14)),))</f>
        <v>TP/X03</v>
      </c>
      <c r="C24" s="694">
        <f ca="1">IF(ROWS($1:14)&gt;COUNT(Dong6),"",OFFSET(TH!E$1,SMALL(Dong6,ROWS($1:14)),))</f>
        <v>41004</v>
      </c>
      <c r="D24" s="695" t="str">
        <f ca="1">IF(ROWS($1:14)&gt;COUNT(Dong6),"",OFFSET(TH!F$1,SMALL(Dong6,ROWS($1:14)),))</f>
        <v>Thùng (51x38x14)</v>
      </c>
      <c r="E24" s="693">
        <f t="shared" ca="1" si="0"/>
        <v>14</v>
      </c>
      <c r="F24" s="696" t="str">
        <f ca="1">IF(ROWS($1:14)&gt;COUNT(Dong6),"",OFFSET(TH!L$1,SMALL(Dong6,ROWS($1:14)),))</f>
        <v>131</v>
      </c>
      <c r="G24" s="696" t="str">
        <f ca="1">IF(ROWS($1:14)&gt;COUNT(Dong6),"",OFFSET(TH!M$1,SMALL(Dong6,ROWS($1:14)),))</f>
        <v>5112</v>
      </c>
      <c r="H24" s="697">
        <f ca="1">IF(ROWS($1:14)&gt;COUNT(Dong6),"",OFFSET(TH!K$1,SMALL(Dong6,ROWS($1:14)),))</f>
        <v>16219200</v>
      </c>
      <c r="I24" s="697">
        <f ca="1">IF(ROWS($1:14)&gt;COUNT(Dong6),"",OFFSET(TH!K$1,SMALL(Dong6,ROWS($1:14)),))</f>
        <v>16219200</v>
      </c>
    </row>
    <row r="25" spans="1:9" ht="21.75" customHeight="1">
      <c r="A25" s="694">
        <f ca="1">IF(ROWS($1:15)&gt;COUNT(Dong6),"",OFFSET(TH!C$1,SMALL(Dong6,ROWS($1:15)),))</f>
        <v>41004</v>
      </c>
      <c r="B25" s="693" t="str">
        <f ca="1">IF(ROWS($1:15)&gt;COUNT(Dong6),"",OFFSET(TH!D$1,SMALL(Dong6,ROWS($1:15)),))</f>
        <v>TP/X03</v>
      </c>
      <c r="C25" s="694">
        <f ca="1">IF(ROWS($1:15)&gt;COUNT(Dong6),"",OFFSET(TH!E$1,SMALL(Dong6,ROWS($1:15)),))</f>
        <v>41004</v>
      </c>
      <c r="D25" s="695" t="str">
        <f ca="1">IF(ROWS($1:15)&gt;COUNT(Dong6),"",OFFSET(TH!F$1,SMALL(Dong6,ROWS($1:15)),))</f>
        <v>VAT thùng</v>
      </c>
      <c r="E25" s="693">
        <f t="shared" ca="1" si="0"/>
        <v>15</v>
      </c>
      <c r="F25" s="696" t="str">
        <f ca="1">IF(ROWS($1:15)&gt;COUNT(Dong6),"",OFFSET(TH!L$1,SMALL(Dong6,ROWS($1:15)),))</f>
        <v>131</v>
      </c>
      <c r="G25" s="696" t="str">
        <f ca="1">IF(ROWS($1:15)&gt;COUNT(Dong6),"",OFFSET(TH!M$1,SMALL(Dong6,ROWS($1:15)),))</f>
        <v>3331</v>
      </c>
      <c r="H25" s="697">
        <f ca="1">IF(ROWS($1:15)&gt;COUNT(Dong6),"",OFFSET(TH!K$1,SMALL(Dong6,ROWS($1:15)),))</f>
        <v>1621920</v>
      </c>
      <c r="I25" s="697">
        <f ca="1">IF(ROWS($1:15)&gt;COUNT(Dong6),"",OFFSET(TH!K$1,SMALL(Dong6,ROWS($1:15)),))</f>
        <v>1621920</v>
      </c>
    </row>
    <row r="26" spans="1:9" ht="21.75" customHeight="1">
      <c r="A26" s="694">
        <f ca="1">IF(ROWS($1:16)&gt;COUNT(Dong6),"",OFFSET(TH!C$1,SMALL(Dong6,ROWS($1:16)),))</f>
        <v>41008</v>
      </c>
      <c r="B26" s="693" t="str">
        <f ca="1">IF(ROWS($1:16)&gt;COUNT(Dong6),"",OFFSET(TH!D$1,SMALL(Dong6,ROWS($1:16)),))</f>
        <v>GBC</v>
      </c>
      <c r="C26" s="694">
        <f ca="1">IF(ROWS($1:16)&gt;COUNT(Dong6),"",OFFSET(TH!E$1,SMALL(Dong6,ROWS($1:16)),))</f>
        <v>41008</v>
      </c>
      <c r="D26" s="695" t="str">
        <f ca="1">IF(ROWS($1:16)&gt;COUNT(Dong6),"",OFFSET(TH!F$1,SMALL(Dong6,ROWS($1:16)),))</f>
        <v>Thu tiền hàng</v>
      </c>
      <c r="E26" s="693">
        <f t="shared" ca="1" si="0"/>
        <v>16</v>
      </c>
      <c r="F26" s="696" t="str">
        <f ca="1">IF(ROWS($1:16)&gt;COUNT(Dong6),"",OFFSET(TH!L$1,SMALL(Dong6,ROWS($1:16)),))</f>
        <v>1121</v>
      </c>
      <c r="G26" s="696" t="str">
        <f ca="1">IF(ROWS($1:16)&gt;COUNT(Dong6),"",OFFSET(TH!M$1,SMALL(Dong6,ROWS($1:16)),))</f>
        <v>131</v>
      </c>
      <c r="H26" s="697">
        <f ca="1">IF(ROWS($1:16)&gt;COUNT(Dong6),"",OFFSET(TH!K$1,SMALL(Dong6,ROWS($1:16)),))</f>
        <v>9004336</v>
      </c>
      <c r="I26" s="697">
        <f ca="1">IF(ROWS($1:16)&gt;COUNT(Dong6),"",OFFSET(TH!K$1,SMALL(Dong6,ROWS($1:16)),))</f>
        <v>9004336</v>
      </c>
    </row>
    <row r="27" spans="1:9" ht="21.75" customHeight="1">
      <c r="A27" s="694">
        <f ca="1">IF(ROWS($1:17)&gt;COUNT(Dong6),"",OFFSET(TH!C$1,SMALL(Dong6,ROWS($1:17)),))</f>
        <v>41009</v>
      </c>
      <c r="B27" s="693" t="str">
        <f ca="1">IF(ROWS($1:17)&gt;COUNT(Dong6),"",OFFSET(TH!D$1,SMALL(Dong6,ROWS($1:17)),))</f>
        <v>T04</v>
      </c>
      <c r="C27" s="694">
        <f ca="1">IF(ROWS($1:17)&gt;COUNT(Dong6),"",OFFSET(TH!E$1,SMALL(Dong6,ROWS($1:17)),))</f>
        <v>41009</v>
      </c>
      <c r="D27" s="695" t="str">
        <f ca="1">IF(ROWS($1:17)&gt;COUNT(Dong6),"",OFFSET(TH!F$1,SMALL(Dong6,ROWS($1:17)),))</f>
        <v>Chi Sec nhập quỹ tiền mặt</v>
      </c>
      <c r="E27" s="693">
        <f t="shared" ca="1" si="0"/>
        <v>17</v>
      </c>
      <c r="F27" s="696" t="str">
        <f ca="1">IF(ROWS($1:17)&gt;COUNT(Dong6),"",OFFSET(TH!L$1,SMALL(Dong6,ROWS($1:17)),))</f>
        <v>1111</v>
      </c>
      <c r="G27" s="696" t="str">
        <f ca="1">IF(ROWS($1:17)&gt;COUNT(Dong6),"",OFFSET(TH!M$1,SMALL(Dong6,ROWS($1:17)),))</f>
        <v>1121</v>
      </c>
      <c r="H27" s="697">
        <f ca="1">IF(ROWS($1:17)&gt;COUNT(Dong6),"",OFFSET(TH!K$1,SMALL(Dong6,ROWS($1:17)),))</f>
        <v>30000000</v>
      </c>
      <c r="I27" s="697">
        <f ca="1">IF(ROWS($1:17)&gt;COUNT(Dong6),"",OFFSET(TH!K$1,SMALL(Dong6,ROWS($1:17)),))</f>
        <v>30000000</v>
      </c>
    </row>
    <row r="28" spans="1:9" ht="21.75" customHeight="1">
      <c r="A28" s="694">
        <f ca="1">IF(ROWS($1:18)&gt;COUNT(Dong6),"",OFFSET(TH!C$1,SMALL(Dong6,ROWS($1:18)),))</f>
        <v>41009</v>
      </c>
      <c r="B28" s="693" t="str">
        <f ca="1">IF(ROWS($1:18)&gt;COUNT(Dong6),"",OFFSET(TH!D$1,SMALL(Dong6,ROWS($1:18)),))</f>
        <v>GBN</v>
      </c>
      <c r="C28" s="694">
        <f ca="1">IF(ROWS($1:18)&gt;COUNT(Dong6),"",OFFSET(TH!E$1,SMALL(Dong6,ROWS($1:18)),))</f>
        <v>41009</v>
      </c>
      <c r="D28" s="695" t="str">
        <f ca="1">IF(ROWS($1:18)&gt;COUNT(Dong6),"",OFFSET(TH!F$1,SMALL(Dong6,ROWS($1:18)),))</f>
        <v>Thanh toán tiền hàng</v>
      </c>
      <c r="E28" s="693">
        <f t="shared" ca="1" si="0"/>
        <v>18</v>
      </c>
      <c r="F28" s="696" t="str">
        <f ca="1">IF(ROWS($1:18)&gt;COUNT(Dong6),"",OFFSET(TH!L$1,SMALL(Dong6,ROWS($1:18)),))</f>
        <v>331</v>
      </c>
      <c r="G28" s="696" t="str">
        <f ca="1">IF(ROWS($1:18)&gt;COUNT(Dong6),"",OFFSET(TH!M$1,SMALL(Dong6,ROWS($1:18)),))</f>
        <v>1121</v>
      </c>
      <c r="H28" s="697">
        <f ca="1">IF(ROWS($1:18)&gt;COUNT(Dong6),"",OFFSET(TH!K$1,SMALL(Dong6,ROWS($1:18)),))</f>
        <v>35000000</v>
      </c>
      <c r="I28" s="697">
        <f ca="1">IF(ROWS($1:18)&gt;COUNT(Dong6),"",OFFSET(TH!K$1,SMALL(Dong6,ROWS($1:18)),))</f>
        <v>35000000</v>
      </c>
    </row>
    <row r="29" spans="1:9" ht="21.75" customHeight="1">
      <c r="A29" s="694">
        <f ca="1">IF(ROWS($1:19)&gt;COUNT(Dong6),"",OFFSET(TH!C$1,SMALL(Dong6,ROWS($1:19)),))</f>
        <v>41009</v>
      </c>
      <c r="B29" s="693" t="str">
        <f ca="1">IF(ROWS($1:19)&gt;COUNT(Dong6),"",OFFSET(TH!D$1,SMALL(Dong6,ROWS($1:19)),))</f>
        <v>GBN</v>
      </c>
      <c r="C29" s="694">
        <f ca="1">IF(ROWS($1:19)&gt;COUNT(Dong6),"",OFFSET(TH!E$1,SMALL(Dong6,ROWS($1:19)),))</f>
        <v>41009</v>
      </c>
      <c r="D29" s="695" t="str">
        <f ca="1">IF(ROWS($1:19)&gt;COUNT(Dong6),"",OFFSET(TH!F$1,SMALL(Dong6,ROWS($1:19)),))</f>
        <v>Phí chuyển tiền</v>
      </c>
      <c r="E29" s="693">
        <f t="shared" ca="1" si="0"/>
        <v>19</v>
      </c>
      <c r="F29" s="696" t="str">
        <f ca="1">IF(ROWS($1:19)&gt;COUNT(Dong6),"",OFFSET(TH!L$1,SMALL(Dong6,ROWS($1:19)),))</f>
        <v>642</v>
      </c>
      <c r="G29" s="696" t="str">
        <f ca="1">IF(ROWS($1:19)&gt;COUNT(Dong6),"",OFFSET(TH!M$1,SMALL(Dong6,ROWS($1:19)),))</f>
        <v>1121</v>
      </c>
      <c r="H29" s="697">
        <f ca="1">IF(ROWS($1:19)&gt;COUNT(Dong6),"",OFFSET(TH!K$1,SMALL(Dong6,ROWS($1:19)),))</f>
        <v>10000</v>
      </c>
      <c r="I29" s="697">
        <f ca="1">IF(ROWS($1:19)&gt;COUNT(Dong6),"",OFFSET(TH!K$1,SMALL(Dong6,ROWS($1:19)),))</f>
        <v>10000</v>
      </c>
    </row>
    <row r="30" spans="1:9" ht="21.75" customHeight="1">
      <c r="A30" s="694">
        <f ca="1">IF(ROWS($1:20)&gt;COUNT(Dong6),"",OFFSET(TH!C$1,SMALL(Dong6,ROWS($1:20)),))</f>
        <v>41009</v>
      </c>
      <c r="B30" s="693" t="str">
        <f ca="1">IF(ROWS($1:20)&gt;COUNT(Dong6),"",OFFSET(TH!D$1,SMALL(Dong6,ROWS($1:20)),))</f>
        <v>TP/X04</v>
      </c>
      <c r="C30" s="694">
        <f ca="1">IF(ROWS($1:20)&gt;COUNT(Dong6),"",OFFSET(TH!E$1,SMALL(Dong6,ROWS($1:20)),))</f>
        <v>41009</v>
      </c>
      <c r="D30" s="695" t="str">
        <f ca="1">IF(ROWS($1:20)&gt;COUNT(Dong6),"",OFFSET(TH!F$1,SMALL(Dong6,ROWS($1:20)),))</f>
        <v>Thùng (46,5x29,5x14)</v>
      </c>
      <c r="E30" s="693">
        <f t="shared" ca="1" si="0"/>
        <v>20</v>
      </c>
      <c r="F30" s="696" t="str">
        <f ca="1">IF(ROWS($1:20)&gt;COUNT(Dong6),"",OFFSET(TH!L$1,SMALL(Dong6,ROWS($1:20)),))</f>
        <v>131</v>
      </c>
      <c r="G30" s="696" t="str">
        <f ca="1">IF(ROWS($1:20)&gt;COUNT(Dong6),"",OFFSET(TH!M$1,SMALL(Dong6,ROWS($1:20)),))</f>
        <v>5112</v>
      </c>
      <c r="H30" s="697">
        <f ca="1">IF(ROWS($1:20)&gt;COUNT(Dong6),"",OFFSET(TH!K$1,SMALL(Dong6,ROWS($1:20)),))</f>
        <v>3360000</v>
      </c>
      <c r="I30" s="697">
        <f ca="1">IF(ROWS($1:20)&gt;COUNT(Dong6),"",OFFSET(TH!K$1,SMALL(Dong6,ROWS($1:20)),))</f>
        <v>3360000</v>
      </c>
    </row>
    <row r="31" spans="1:9" ht="21.75" customHeight="1">
      <c r="A31" s="694">
        <f ca="1">IF(ROWS($1:21)&gt;COUNT(Dong6),"",OFFSET(TH!C$1,SMALL(Dong6,ROWS($1:21)),))</f>
        <v>41009</v>
      </c>
      <c r="B31" s="693" t="str">
        <f ca="1">IF(ROWS($1:21)&gt;COUNT(Dong6),"",OFFSET(TH!D$1,SMALL(Dong6,ROWS($1:21)),))</f>
        <v>TP/X04</v>
      </c>
      <c r="C31" s="694">
        <f ca="1">IF(ROWS($1:21)&gt;COUNT(Dong6),"",OFFSET(TH!E$1,SMALL(Dong6,ROWS($1:21)),))</f>
        <v>41009</v>
      </c>
      <c r="D31" s="695" t="str">
        <f ca="1">IF(ROWS($1:21)&gt;COUNT(Dong6),"",OFFSET(TH!F$1,SMALL(Dong6,ROWS($1:21)),))</f>
        <v>Thùng (46,5x29,5x16)</v>
      </c>
      <c r="E31" s="693">
        <f t="shared" ca="1" si="0"/>
        <v>21</v>
      </c>
      <c r="F31" s="696" t="str">
        <f ca="1">IF(ROWS($1:21)&gt;COUNT(Dong6),"",OFFSET(TH!L$1,SMALL(Dong6,ROWS($1:21)),))</f>
        <v>131</v>
      </c>
      <c r="G31" s="696" t="str">
        <f ca="1">IF(ROWS($1:21)&gt;COUNT(Dong6),"",OFFSET(TH!M$1,SMALL(Dong6,ROWS($1:21)),))</f>
        <v>5112</v>
      </c>
      <c r="H31" s="697">
        <f ca="1">IF(ROWS($1:21)&gt;COUNT(Dong6),"",OFFSET(TH!K$1,SMALL(Dong6,ROWS($1:21)),))</f>
        <v>3444320</v>
      </c>
      <c r="I31" s="697">
        <f ca="1">IF(ROWS($1:21)&gt;COUNT(Dong6),"",OFFSET(TH!K$1,SMALL(Dong6,ROWS($1:21)),))</f>
        <v>3444320</v>
      </c>
    </row>
    <row r="32" spans="1:9" ht="21.75" customHeight="1">
      <c r="A32" s="694">
        <f ca="1">IF(ROWS($1:22)&gt;COUNT(Dong6),"",OFFSET(TH!C$1,SMALL(Dong6,ROWS($1:22)),))</f>
        <v>41009</v>
      </c>
      <c r="B32" s="693" t="str">
        <f ca="1">IF(ROWS($1:22)&gt;COUNT(Dong6),"",OFFSET(TH!D$1,SMALL(Dong6,ROWS($1:22)),))</f>
        <v>TP/X04</v>
      </c>
      <c r="C32" s="694">
        <f ca="1">IF(ROWS($1:22)&gt;COUNT(Dong6),"",OFFSET(TH!E$1,SMALL(Dong6,ROWS($1:22)),))</f>
        <v>41009</v>
      </c>
      <c r="D32" s="695" t="str">
        <f ca="1">IF(ROWS($1:22)&gt;COUNT(Dong6),"",OFFSET(TH!F$1,SMALL(Dong6,ROWS($1:22)),))</f>
        <v>VAT thùng</v>
      </c>
      <c r="E32" s="693">
        <f t="shared" ca="1" si="0"/>
        <v>22</v>
      </c>
      <c r="F32" s="696" t="str">
        <f ca="1">IF(ROWS($1:22)&gt;COUNT(Dong6),"",OFFSET(TH!L$1,SMALL(Dong6,ROWS($1:22)),))</f>
        <v>131</v>
      </c>
      <c r="G32" s="696" t="str">
        <f ca="1">IF(ROWS($1:22)&gt;COUNT(Dong6),"",OFFSET(TH!M$1,SMALL(Dong6,ROWS($1:22)),))</f>
        <v>3331</v>
      </c>
      <c r="H32" s="697">
        <f ca="1">IF(ROWS($1:22)&gt;COUNT(Dong6),"",OFFSET(TH!K$1,SMALL(Dong6,ROWS($1:22)),))</f>
        <v>680432</v>
      </c>
      <c r="I32" s="697">
        <f ca="1">IF(ROWS($1:22)&gt;COUNT(Dong6),"",OFFSET(TH!K$1,SMALL(Dong6,ROWS($1:22)),))</f>
        <v>680432</v>
      </c>
    </row>
    <row r="33" spans="1:9" ht="21.75" customHeight="1">
      <c r="A33" s="694">
        <f ca="1">IF(ROWS($1:23)&gt;COUNT(Dong6),"",OFFSET(TH!C$1,SMALL(Dong6,ROWS($1:23)),))</f>
        <v>41009</v>
      </c>
      <c r="B33" s="693" t="str">
        <f ca="1">IF(ROWS($1:23)&gt;COUNT(Dong6),"",OFFSET(TH!D$1,SMALL(Dong6,ROWS($1:23)),))</f>
        <v>T05</v>
      </c>
      <c r="C33" s="694">
        <f ca="1">IF(ROWS($1:23)&gt;COUNT(Dong6),"",OFFSET(TH!E$1,SMALL(Dong6,ROWS($1:23)),))</f>
        <v>41009</v>
      </c>
      <c r="D33" s="695" t="str">
        <f ca="1">IF(ROWS($1:23)&gt;COUNT(Dong6),"",OFFSET(TH!F$1,SMALL(Dong6,ROWS($1:23)),))</f>
        <v>Thu tiền hàng</v>
      </c>
      <c r="E33" s="693">
        <f t="shared" ca="1" si="0"/>
        <v>23</v>
      </c>
      <c r="F33" s="696" t="str">
        <f ca="1">IF(ROWS($1:23)&gt;COUNT(Dong6),"",OFFSET(TH!L$1,SMALL(Dong6,ROWS($1:23)),))</f>
        <v>1111</v>
      </c>
      <c r="G33" s="696" t="str">
        <f ca="1">IF(ROWS($1:23)&gt;COUNT(Dong6),"",OFFSET(TH!M$1,SMALL(Dong6,ROWS($1:23)),))</f>
        <v>131</v>
      </c>
      <c r="H33" s="697">
        <f ca="1">IF(ROWS($1:23)&gt;COUNT(Dong6),"",OFFSET(TH!K$1,SMALL(Dong6,ROWS($1:23)),))</f>
        <v>7484752</v>
      </c>
      <c r="I33" s="697">
        <f ca="1">IF(ROWS($1:23)&gt;COUNT(Dong6),"",OFFSET(TH!K$1,SMALL(Dong6,ROWS($1:23)),))</f>
        <v>7484752</v>
      </c>
    </row>
    <row r="34" spans="1:9" ht="21.75" customHeight="1">
      <c r="A34" s="694">
        <f ca="1">IF(ROWS($1:24)&gt;COUNT(Dong6),"",OFFSET(TH!C$1,SMALL(Dong6,ROWS($1:24)),))</f>
        <v>41009</v>
      </c>
      <c r="B34" s="693" t="str">
        <f ca="1">IF(ROWS($1:24)&gt;COUNT(Dong6),"",OFFSET(TH!D$1,SMALL(Dong6,ROWS($1:24)),))</f>
        <v>TP/X05</v>
      </c>
      <c r="C34" s="694">
        <f ca="1">IF(ROWS($1:24)&gt;COUNT(Dong6),"",OFFSET(TH!E$1,SMALL(Dong6,ROWS($1:24)),))</f>
        <v>41009</v>
      </c>
      <c r="D34" s="695" t="str">
        <f ca="1">IF(ROWS($1:24)&gt;COUNT(Dong6),"",OFFSET(TH!F$1,SMALL(Dong6,ROWS($1:24)),))</f>
        <v>Tấm lót (56x43)</v>
      </c>
      <c r="E34" s="693">
        <f t="shared" ca="1" si="0"/>
        <v>24</v>
      </c>
      <c r="F34" s="696" t="str">
        <f ca="1">IF(ROWS($1:24)&gt;COUNT(Dong6),"",OFFSET(TH!L$1,SMALL(Dong6,ROWS($1:24)),))</f>
        <v>131</v>
      </c>
      <c r="G34" s="696" t="str">
        <f ca="1">IF(ROWS($1:24)&gt;COUNT(Dong6),"",OFFSET(TH!M$1,SMALL(Dong6,ROWS($1:24)),))</f>
        <v>5112</v>
      </c>
      <c r="H34" s="697">
        <f ca="1">IF(ROWS($1:24)&gt;COUNT(Dong6),"",OFFSET(TH!K$1,SMALL(Dong6,ROWS($1:24)),))</f>
        <v>2000000</v>
      </c>
      <c r="I34" s="697">
        <f ca="1">IF(ROWS($1:24)&gt;COUNT(Dong6),"",OFFSET(TH!K$1,SMALL(Dong6,ROWS($1:24)),))</f>
        <v>2000000</v>
      </c>
    </row>
    <row r="35" spans="1:9" ht="21.75" customHeight="1">
      <c r="A35" s="694">
        <f ca="1">IF(ROWS($1:25)&gt;COUNT(Dong6),"",OFFSET(TH!C$1,SMALL(Dong6,ROWS($1:25)),))</f>
        <v>41009</v>
      </c>
      <c r="B35" s="693" t="str">
        <f ca="1">IF(ROWS($1:25)&gt;COUNT(Dong6),"",OFFSET(TH!D$1,SMALL(Dong6,ROWS($1:25)),))</f>
        <v>TP/X05</v>
      </c>
      <c r="C35" s="694">
        <f ca="1">IF(ROWS($1:25)&gt;COUNT(Dong6),"",OFFSET(TH!E$1,SMALL(Dong6,ROWS($1:25)),))</f>
        <v>41009</v>
      </c>
      <c r="D35" s="695" t="str">
        <f ca="1">IF(ROWS($1:25)&gt;COUNT(Dong6),"",OFFSET(TH!F$1,SMALL(Dong6,ROWS($1:25)),))</f>
        <v>Vĩ (56x15)</v>
      </c>
      <c r="E35" s="693">
        <f t="shared" ca="1" si="0"/>
        <v>25</v>
      </c>
      <c r="F35" s="696" t="str">
        <f ca="1">IF(ROWS($1:25)&gt;COUNT(Dong6),"",OFFSET(TH!L$1,SMALL(Dong6,ROWS($1:25)),))</f>
        <v>131</v>
      </c>
      <c r="G35" s="696" t="str">
        <f ca="1">IF(ROWS($1:25)&gt;COUNT(Dong6),"",OFFSET(TH!M$1,SMALL(Dong6,ROWS($1:25)),))</f>
        <v>5112</v>
      </c>
      <c r="H35" s="697">
        <f ca="1">IF(ROWS($1:25)&gt;COUNT(Dong6),"",OFFSET(TH!K$1,SMALL(Dong6,ROWS($1:25)),))</f>
        <v>1500000</v>
      </c>
      <c r="I35" s="697">
        <f ca="1">IF(ROWS($1:25)&gt;COUNT(Dong6),"",OFFSET(TH!K$1,SMALL(Dong6,ROWS($1:25)),))</f>
        <v>1500000</v>
      </c>
    </row>
    <row r="36" spans="1:9" ht="21.75" customHeight="1">
      <c r="A36" s="694">
        <f ca="1">IF(ROWS($1:26)&gt;COUNT(Dong6),"",OFFSET(TH!C$1,SMALL(Dong6,ROWS($1:26)),))</f>
        <v>41009</v>
      </c>
      <c r="B36" s="693" t="str">
        <f ca="1">IF(ROWS($1:26)&gt;COUNT(Dong6),"",OFFSET(TH!D$1,SMALL(Dong6,ROWS($1:26)),))</f>
        <v>TP/X05</v>
      </c>
      <c r="C36" s="694">
        <f ca="1">IF(ROWS($1:26)&gt;COUNT(Dong6),"",OFFSET(TH!E$1,SMALL(Dong6,ROWS($1:26)),))</f>
        <v>41009</v>
      </c>
      <c r="D36" s="695" t="str">
        <f ca="1">IF(ROWS($1:26)&gt;COUNT(Dong6),"",OFFSET(TH!F$1,SMALL(Dong6,ROWS($1:26)),))</f>
        <v>VAT thùng</v>
      </c>
      <c r="E36" s="693">
        <f t="shared" ca="1" si="0"/>
        <v>26</v>
      </c>
      <c r="F36" s="696" t="str">
        <f ca="1">IF(ROWS($1:26)&gt;COUNT(Dong6),"",OFFSET(TH!L$1,SMALL(Dong6,ROWS($1:26)),))</f>
        <v>131</v>
      </c>
      <c r="G36" s="696" t="str">
        <f ca="1">IF(ROWS($1:26)&gt;COUNT(Dong6),"",OFFSET(TH!M$1,SMALL(Dong6,ROWS($1:26)),))</f>
        <v>3331</v>
      </c>
      <c r="H36" s="697">
        <f ca="1">IF(ROWS($1:26)&gt;COUNT(Dong6),"",OFFSET(TH!K$1,SMALL(Dong6,ROWS($1:26)),))</f>
        <v>350000</v>
      </c>
      <c r="I36" s="697">
        <f ca="1">IF(ROWS($1:26)&gt;COUNT(Dong6),"",OFFSET(TH!K$1,SMALL(Dong6,ROWS($1:26)),))</f>
        <v>350000</v>
      </c>
    </row>
    <row r="37" spans="1:9" ht="21.75" customHeight="1">
      <c r="A37" s="694">
        <f ca="1">IF(ROWS($1:27)&gt;COUNT(Dong6),"",OFFSET(TH!C$1,SMALL(Dong6,ROWS($1:27)),))</f>
        <v>41010</v>
      </c>
      <c r="B37" s="693" t="str">
        <f ca="1">IF(ROWS($1:27)&gt;COUNT(Dong6),"",OFFSET(TH!D$1,SMALL(Dong6,ROWS($1:27)),))</f>
        <v>GBC</v>
      </c>
      <c r="C37" s="694">
        <f ca="1">IF(ROWS($1:27)&gt;COUNT(Dong6),"",OFFSET(TH!E$1,SMALL(Dong6,ROWS($1:27)),))</f>
        <v>41010</v>
      </c>
      <c r="D37" s="695" t="str">
        <f ca="1">IF(ROWS($1:27)&gt;COUNT(Dong6),"",OFFSET(TH!F$1,SMALL(Dong6,ROWS($1:27)),))</f>
        <v>Thu tiền hàng</v>
      </c>
      <c r="E37" s="693">
        <f t="shared" ca="1" si="0"/>
        <v>27</v>
      </c>
      <c r="F37" s="696" t="str">
        <f ca="1">IF(ROWS($1:27)&gt;COUNT(Dong6),"",OFFSET(TH!L$1,SMALL(Dong6,ROWS($1:27)),))</f>
        <v>1121</v>
      </c>
      <c r="G37" s="696" t="str">
        <f ca="1">IF(ROWS($1:27)&gt;COUNT(Dong6),"",OFFSET(TH!M$1,SMALL(Dong6,ROWS($1:27)),))</f>
        <v>131</v>
      </c>
      <c r="H37" s="697">
        <f ca="1">IF(ROWS($1:27)&gt;COUNT(Dong6),"",OFFSET(TH!K$1,SMALL(Dong6,ROWS($1:27)),))</f>
        <v>25000000</v>
      </c>
      <c r="I37" s="697">
        <f ca="1">IF(ROWS($1:27)&gt;COUNT(Dong6),"",OFFSET(TH!K$1,SMALL(Dong6,ROWS($1:27)),))</f>
        <v>25000000</v>
      </c>
    </row>
    <row r="38" spans="1:9" ht="21.75" customHeight="1">
      <c r="A38" s="694">
        <f ca="1">IF(ROWS($1:28)&gt;COUNT(Dong6),"",OFFSET(TH!C$1,SMALL(Dong6,ROWS($1:28)),))</f>
        <v>41010</v>
      </c>
      <c r="B38" s="693" t="str">
        <f ca="1">IF(ROWS($1:28)&gt;COUNT(Dong6),"",OFFSET(TH!D$1,SMALL(Dong6,ROWS($1:28)),))</f>
        <v>TP/X06</v>
      </c>
      <c r="C38" s="694">
        <f ca="1">IF(ROWS($1:28)&gt;COUNT(Dong6),"",OFFSET(TH!E$1,SMALL(Dong6,ROWS($1:28)),))</f>
        <v>41010</v>
      </c>
      <c r="D38" s="695" t="str">
        <f ca="1">IF(ROWS($1:28)&gt;COUNT(Dong6),"",OFFSET(TH!F$1,SMALL(Dong6,ROWS($1:28)),))</f>
        <v>Thùng carton  PO</v>
      </c>
      <c r="E38" s="693">
        <f t="shared" ca="1" si="0"/>
        <v>28</v>
      </c>
      <c r="F38" s="696" t="str">
        <f ca="1">IF(ROWS($1:28)&gt;COUNT(Dong6),"",OFFSET(TH!L$1,SMALL(Dong6,ROWS($1:28)),))</f>
        <v>131</v>
      </c>
      <c r="G38" s="696" t="str">
        <f ca="1">IF(ROWS($1:28)&gt;COUNT(Dong6),"",OFFSET(TH!M$1,SMALL(Dong6,ROWS($1:28)),))</f>
        <v>5112</v>
      </c>
      <c r="H38" s="697">
        <f ca="1">IF(ROWS($1:28)&gt;COUNT(Dong6),"",OFFSET(TH!K$1,SMALL(Dong6,ROWS($1:28)),))</f>
        <v>1477980</v>
      </c>
      <c r="I38" s="697">
        <f ca="1">IF(ROWS($1:28)&gt;COUNT(Dong6),"",OFFSET(TH!K$1,SMALL(Dong6,ROWS($1:28)),))</f>
        <v>1477980</v>
      </c>
    </row>
    <row r="39" spans="1:9" ht="21.75" customHeight="1">
      <c r="A39" s="694">
        <f ca="1">IF(ROWS($1:29)&gt;COUNT(Dong6),"",OFFSET(TH!C$1,SMALL(Dong6,ROWS($1:29)),))</f>
        <v>41010</v>
      </c>
      <c r="B39" s="693" t="str">
        <f ca="1">IF(ROWS($1:29)&gt;COUNT(Dong6),"",OFFSET(TH!D$1,SMALL(Dong6,ROWS($1:29)),))</f>
        <v>TP/X06</v>
      </c>
      <c r="C39" s="694">
        <f ca="1">IF(ROWS($1:29)&gt;COUNT(Dong6),"",OFFSET(TH!E$1,SMALL(Dong6,ROWS($1:29)),))</f>
        <v>41010</v>
      </c>
      <c r="D39" s="695" t="str">
        <f ca="1">IF(ROWS($1:29)&gt;COUNT(Dong6),"",OFFSET(TH!F$1,SMALL(Dong6,ROWS($1:29)),))</f>
        <v>VAT Thùng carton  PO</v>
      </c>
      <c r="E39" s="693">
        <f t="shared" ca="1" si="0"/>
        <v>29</v>
      </c>
      <c r="F39" s="696" t="str">
        <f ca="1">IF(ROWS($1:29)&gt;COUNT(Dong6),"",OFFSET(TH!L$1,SMALL(Dong6,ROWS($1:29)),))</f>
        <v>131</v>
      </c>
      <c r="G39" s="696" t="str">
        <f ca="1">IF(ROWS($1:29)&gt;COUNT(Dong6),"",OFFSET(TH!M$1,SMALL(Dong6,ROWS($1:29)),))</f>
        <v>3331</v>
      </c>
      <c r="H39" s="697">
        <f ca="1">IF(ROWS($1:29)&gt;COUNT(Dong6),"",OFFSET(TH!K$1,SMALL(Dong6,ROWS($1:29)),))</f>
        <v>147798</v>
      </c>
      <c r="I39" s="697">
        <f ca="1">IF(ROWS($1:29)&gt;COUNT(Dong6),"",OFFSET(TH!K$1,SMALL(Dong6,ROWS($1:29)),))</f>
        <v>147798</v>
      </c>
    </row>
    <row r="40" spans="1:9" ht="21.75" customHeight="1">
      <c r="A40" s="694">
        <f ca="1">IF(ROWS($1:30)&gt;COUNT(Dong6),"",OFFSET(TH!C$1,SMALL(Dong6,ROWS($1:30)),))</f>
        <v>41010</v>
      </c>
      <c r="B40" s="693" t="str">
        <f ca="1">IF(ROWS($1:30)&gt;COUNT(Dong6),"",OFFSET(TH!D$1,SMALL(Dong6,ROWS($1:30)),))</f>
        <v>T06</v>
      </c>
      <c r="C40" s="694">
        <f ca="1">IF(ROWS($1:30)&gt;COUNT(Dong6),"",OFFSET(TH!E$1,SMALL(Dong6,ROWS($1:30)),))</f>
        <v>41010</v>
      </c>
      <c r="D40" s="695" t="str">
        <f ca="1">IF(ROWS($1:30)&gt;COUNT(Dong6),"",OFFSET(TH!F$1,SMALL(Dong6,ROWS($1:30)),))</f>
        <v>Thu tiền hàng</v>
      </c>
      <c r="E40" s="693">
        <f t="shared" ca="1" si="0"/>
        <v>30</v>
      </c>
      <c r="F40" s="696" t="str">
        <f ca="1">IF(ROWS($1:30)&gt;COUNT(Dong6),"",OFFSET(TH!L$1,SMALL(Dong6,ROWS($1:30)),))</f>
        <v>1111</v>
      </c>
      <c r="G40" s="696" t="str">
        <f ca="1">IF(ROWS($1:30)&gt;COUNT(Dong6),"",OFFSET(TH!M$1,SMALL(Dong6,ROWS($1:30)),))</f>
        <v>131</v>
      </c>
      <c r="H40" s="697">
        <f ca="1">IF(ROWS($1:30)&gt;COUNT(Dong6),"",OFFSET(TH!K$1,SMALL(Dong6,ROWS($1:30)),))</f>
        <v>1625778</v>
      </c>
      <c r="I40" s="697">
        <f ca="1">IF(ROWS($1:30)&gt;COUNT(Dong6),"",OFFSET(TH!K$1,SMALL(Dong6,ROWS($1:30)),))</f>
        <v>1625778</v>
      </c>
    </row>
    <row r="41" spans="1:9" ht="21.75" customHeight="1">
      <c r="A41" s="694">
        <f ca="1">IF(ROWS($1:31)&gt;COUNT(Dong6),"",OFFSET(TH!C$1,SMALL(Dong6,ROWS($1:31)),))</f>
        <v>41012</v>
      </c>
      <c r="B41" s="693" t="str">
        <f ca="1">IF(ROWS($1:31)&gt;COUNT(Dong6),"",OFFSET(TH!D$1,SMALL(Dong6,ROWS($1:31)),))</f>
        <v>GBN</v>
      </c>
      <c r="C41" s="694">
        <f ca="1">IF(ROWS($1:31)&gt;COUNT(Dong6),"",OFFSET(TH!E$1,SMALL(Dong6,ROWS($1:31)),))</f>
        <v>41012</v>
      </c>
      <c r="D41" s="695" t="str">
        <f ca="1">IF(ROWS($1:31)&gt;COUNT(Dong6),"",OFFSET(TH!F$1,SMALL(Dong6,ROWS($1:31)),))</f>
        <v>Thanh toán tiền hàng</v>
      </c>
      <c r="E41" s="693">
        <f t="shared" ca="1" si="0"/>
        <v>31</v>
      </c>
      <c r="F41" s="696" t="str">
        <f ca="1">IF(ROWS($1:31)&gt;COUNT(Dong6),"",OFFSET(TH!L$1,SMALL(Dong6,ROWS($1:31)),))</f>
        <v>331</v>
      </c>
      <c r="G41" s="696" t="str">
        <f ca="1">IF(ROWS($1:31)&gt;COUNT(Dong6),"",OFFSET(TH!M$1,SMALL(Dong6,ROWS($1:31)),))</f>
        <v>1121</v>
      </c>
      <c r="H41" s="697">
        <f ca="1">IF(ROWS($1:31)&gt;COUNT(Dong6),"",OFFSET(TH!K$1,SMALL(Dong6,ROWS($1:31)),))</f>
        <v>26477546</v>
      </c>
      <c r="I41" s="697">
        <f ca="1">IF(ROWS($1:31)&gt;COUNT(Dong6),"",OFFSET(TH!K$1,SMALL(Dong6,ROWS($1:31)),))</f>
        <v>26477546</v>
      </c>
    </row>
    <row r="42" spans="1:9" ht="21.75" customHeight="1">
      <c r="A42" s="694">
        <f ca="1">IF(ROWS($1:32)&gt;COUNT(Dong6),"",OFFSET(TH!C$1,SMALL(Dong6,ROWS($1:32)),))</f>
        <v>41012</v>
      </c>
      <c r="B42" s="693" t="str">
        <f ca="1">IF(ROWS($1:32)&gt;COUNT(Dong6),"",OFFSET(TH!D$1,SMALL(Dong6,ROWS($1:32)),))</f>
        <v>GBN</v>
      </c>
      <c r="C42" s="694">
        <f ca="1">IF(ROWS($1:32)&gt;COUNT(Dong6),"",OFFSET(TH!E$1,SMALL(Dong6,ROWS($1:32)),))</f>
        <v>41012</v>
      </c>
      <c r="D42" s="695" t="str">
        <f ca="1">IF(ROWS($1:32)&gt;COUNT(Dong6),"",OFFSET(TH!F$1,SMALL(Dong6,ROWS($1:32)),))</f>
        <v>Phí chuyển tiền</v>
      </c>
      <c r="E42" s="693">
        <f t="shared" ca="1" si="0"/>
        <v>32</v>
      </c>
      <c r="F42" s="696" t="str">
        <f ca="1">IF(ROWS($1:32)&gt;COUNT(Dong6),"",OFFSET(TH!L$1,SMALL(Dong6,ROWS($1:32)),))</f>
        <v>642</v>
      </c>
      <c r="G42" s="696" t="str">
        <f ca="1">IF(ROWS($1:32)&gt;COUNT(Dong6),"",OFFSET(TH!M$1,SMALL(Dong6,ROWS($1:32)),))</f>
        <v>1121</v>
      </c>
      <c r="H42" s="697">
        <f ca="1">IF(ROWS($1:32)&gt;COUNT(Dong6),"",OFFSET(TH!K$1,SMALL(Dong6,ROWS($1:32)),))</f>
        <v>20000</v>
      </c>
      <c r="I42" s="697">
        <f ca="1">IF(ROWS($1:32)&gt;COUNT(Dong6),"",OFFSET(TH!K$1,SMALL(Dong6,ROWS($1:32)),))</f>
        <v>20000</v>
      </c>
    </row>
    <row r="43" spans="1:9" ht="21.75" customHeight="1">
      <c r="A43" s="694">
        <f ca="1">IF(ROWS($1:33)&gt;COUNT(Dong6),"",OFFSET(TH!C$1,SMALL(Dong6,ROWS($1:33)),))</f>
        <v>41012</v>
      </c>
      <c r="B43" s="693" t="str">
        <f ca="1">IF(ROWS($1:33)&gt;COUNT(Dong6),"",OFFSET(TH!D$1,SMALL(Dong6,ROWS($1:33)),))</f>
        <v>NL/N01</v>
      </c>
      <c r="C43" s="694">
        <f ca="1">IF(ROWS($1:33)&gt;COUNT(Dong6),"",OFFSET(TH!E$1,SMALL(Dong6,ROWS($1:33)),))</f>
        <v>41012</v>
      </c>
      <c r="D43" s="695" t="str">
        <f ca="1">IF(ROWS($1:33)&gt;COUNT(Dong6),"",OFFSET(TH!F$1,SMALL(Dong6,ROWS($1:33)),))</f>
        <v>Giấy tấm 3 lớp (162x110)</v>
      </c>
      <c r="E43" s="693">
        <f t="shared" ca="1" si="0"/>
        <v>33</v>
      </c>
      <c r="F43" s="696" t="str">
        <f ca="1">IF(ROWS($1:33)&gt;COUNT(Dong6),"",OFFSET(TH!L$1,SMALL(Dong6,ROWS($1:33)),))</f>
        <v>1521</v>
      </c>
      <c r="G43" s="696" t="str">
        <f ca="1">IF(ROWS($1:33)&gt;COUNT(Dong6),"",OFFSET(TH!M$1,SMALL(Dong6,ROWS($1:33)),))</f>
        <v>331</v>
      </c>
      <c r="H43" s="697">
        <f ca="1">IF(ROWS($1:33)&gt;COUNT(Dong6),"",OFFSET(TH!K$1,SMALL(Dong6,ROWS($1:33)),))</f>
        <v>3104140</v>
      </c>
      <c r="I43" s="697">
        <f ca="1">IF(ROWS($1:33)&gt;COUNT(Dong6),"",OFFSET(TH!K$1,SMALL(Dong6,ROWS($1:33)),))</f>
        <v>3104140</v>
      </c>
    </row>
    <row r="44" spans="1:9" ht="21.75" customHeight="1">
      <c r="A44" s="694">
        <f ca="1">IF(ROWS($1:34)&gt;COUNT(Dong6),"",OFFSET(TH!C$1,SMALL(Dong6,ROWS($1:34)),))</f>
        <v>41012</v>
      </c>
      <c r="B44" s="693" t="str">
        <f ca="1">IF(ROWS($1:34)&gt;COUNT(Dong6),"",OFFSET(TH!D$1,SMALL(Dong6,ROWS($1:34)),))</f>
        <v>NL/N01</v>
      </c>
      <c r="C44" s="694">
        <f ca="1">IF(ROWS($1:34)&gt;COUNT(Dong6),"",OFFSET(TH!E$1,SMALL(Dong6,ROWS($1:34)),))</f>
        <v>41012</v>
      </c>
      <c r="D44" s="695" t="str">
        <f ca="1">IF(ROWS($1:34)&gt;COUNT(Dong6),"",OFFSET(TH!F$1,SMALL(Dong6,ROWS($1:34)),))</f>
        <v>Giấy tấm 3 lớp (171x115)</v>
      </c>
      <c r="E44" s="693">
        <f t="shared" ca="1" si="0"/>
        <v>34</v>
      </c>
      <c r="F44" s="696" t="str">
        <f ca="1">IF(ROWS($1:34)&gt;COUNT(Dong6),"",OFFSET(TH!L$1,SMALL(Dong6,ROWS($1:34)),))</f>
        <v>1521</v>
      </c>
      <c r="G44" s="696" t="str">
        <f ca="1">IF(ROWS($1:34)&gt;COUNT(Dong6),"",OFFSET(TH!M$1,SMALL(Dong6,ROWS($1:34)),))</f>
        <v>331</v>
      </c>
      <c r="H44" s="697">
        <f ca="1">IF(ROWS($1:34)&gt;COUNT(Dong6),"",OFFSET(TH!K$1,SMALL(Dong6,ROWS($1:34)),))</f>
        <v>4479840</v>
      </c>
      <c r="I44" s="697">
        <f ca="1">IF(ROWS($1:34)&gt;COUNT(Dong6),"",OFFSET(TH!K$1,SMALL(Dong6,ROWS($1:34)),))</f>
        <v>4479840</v>
      </c>
    </row>
    <row r="45" spans="1:9" ht="21.75" customHeight="1">
      <c r="A45" s="694">
        <f ca="1">IF(ROWS($1:35)&gt;COUNT(Dong6),"",OFFSET(TH!C$1,SMALL(Dong6,ROWS($1:35)),))</f>
        <v>41012</v>
      </c>
      <c r="B45" s="693" t="str">
        <f ca="1">IF(ROWS($1:35)&gt;COUNT(Dong6),"",OFFSET(TH!D$1,SMALL(Dong6,ROWS($1:35)),))</f>
        <v>NL/N01</v>
      </c>
      <c r="C45" s="694">
        <f ca="1">IF(ROWS($1:35)&gt;COUNT(Dong6),"",OFFSET(TH!E$1,SMALL(Dong6,ROWS($1:35)),))</f>
        <v>41012</v>
      </c>
      <c r="D45" s="695" t="str">
        <f ca="1">IF(ROWS($1:35)&gt;COUNT(Dong6),"",OFFSET(TH!F$1,SMALL(Dong6,ROWS($1:35)),))</f>
        <v>Giấy tấm 3 lớp (175x125)</v>
      </c>
      <c r="E45" s="693">
        <f t="shared" ca="1" si="0"/>
        <v>35</v>
      </c>
      <c r="F45" s="696" t="str">
        <f ca="1">IF(ROWS($1:35)&gt;COUNT(Dong6),"",OFFSET(TH!L$1,SMALL(Dong6,ROWS($1:35)),))</f>
        <v>1521</v>
      </c>
      <c r="G45" s="696" t="str">
        <f ca="1">IF(ROWS($1:35)&gt;COUNT(Dong6),"",OFFSET(TH!M$1,SMALL(Dong6,ROWS($1:35)),))</f>
        <v>331</v>
      </c>
      <c r="H45" s="697">
        <f ca="1">IF(ROWS($1:35)&gt;COUNT(Dong6),"",OFFSET(TH!K$1,SMALL(Dong6,ROWS($1:35)),))</f>
        <v>7621120</v>
      </c>
      <c r="I45" s="697">
        <f ca="1">IF(ROWS($1:35)&gt;COUNT(Dong6),"",OFFSET(TH!K$1,SMALL(Dong6,ROWS($1:35)),))</f>
        <v>7621120</v>
      </c>
    </row>
    <row r="46" spans="1:9" ht="21.75" customHeight="1">
      <c r="A46" s="694">
        <f ca="1">IF(ROWS($1:36)&gt;COUNT(Dong6),"",OFFSET(TH!C$1,SMALL(Dong6,ROWS($1:36)),))</f>
        <v>41012</v>
      </c>
      <c r="B46" s="693" t="str">
        <f ca="1">IF(ROWS($1:36)&gt;COUNT(Dong6),"",OFFSET(TH!D$1,SMALL(Dong6,ROWS($1:36)),))</f>
        <v>NL/N01</v>
      </c>
      <c r="C46" s="694">
        <f ca="1">IF(ROWS($1:36)&gt;COUNT(Dong6),"",OFFSET(TH!E$1,SMALL(Dong6,ROWS($1:36)),))</f>
        <v>41012</v>
      </c>
      <c r="D46" s="695" t="str">
        <f ca="1">IF(ROWS($1:36)&gt;COUNT(Dong6),"",OFFSET(TH!F$1,SMALL(Dong6,ROWS($1:36)),))</f>
        <v>Giấy tấm 3 lớp (181x125)</v>
      </c>
      <c r="E46" s="693">
        <f t="shared" ca="1" si="0"/>
        <v>36</v>
      </c>
      <c r="F46" s="696" t="str">
        <f ca="1">IF(ROWS($1:36)&gt;COUNT(Dong6),"",OFFSET(TH!L$1,SMALL(Dong6,ROWS($1:36)),))</f>
        <v>1521</v>
      </c>
      <c r="G46" s="696" t="str">
        <f ca="1">IF(ROWS($1:36)&gt;COUNT(Dong6),"",OFFSET(TH!M$1,SMALL(Dong6,ROWS($1:36)),))</f>
        <v>331</v>
      </c>
      <c r="H46" s="697">
        <f ca="1">IF(ROWS($1:36)&gt;COUNT(Dong6),"",OFFSET(TH!K$1,SMALL(Dong6,ROWS($1:36)),))</f>
        <v>1515900</v>
      </c>
      <c r="I46" s="697">
        <f ca="1">IF(ROWS($1:36)&gt;COUNT(Dong6),"",OFFSET(TH!K$1,SMALL(Dong6,ROWS($1:36)),))</f>
        <v>1515900</v>
      </c>
    </row>
    <row r="47" spans="1:9" ht="21.75" customHeight="1">
      <c r="A47" s="694">
        <f ca="1">IF(ROWS($1:37)&gt;COUNT(Dong6),"",OFFSET(TH!C$1,SMALL(Dong6,ROWS($1:37)),))</f>
        <v>41012</v>
      </c>
      <c r="B47" s="693" t="str">
        <f ca="1">IF(ROWS($1:37)&gt;COUNT(Dong6),"",OFFSET(TH!D$1,SMALL(Dong6,ROWS($1:37)),))</f>
        <v>NL/N01</v>
      </c>
      <c r="C47" s="694">
        <f ca="1">IF(ROWS($1:37)&gt;COUNT(Dong6),"",OFFSET(TH!E$1,SMALL(Dong6,ROWS($1:37)),))</f>
        <v>41012</v>
      </c>
      <c r="D47" s="695" t="str">
        <f ca="1">IF(ROWS($1:37)&gt;COUNT(Dong6),"",OFFSET(TH!F$1,SMALL(Dong6,ROWS($1:37)),))</f>
        <v>Giấy tấm 3 lớp (205x145)</v>
      </c>
      <c r="E47" s="693">
        <f t="shared" ca="1" si="0"/>
        <v>37</v>
      </c>
      <c r="F47" s="696" t="str">
        <f ca="1">IF(ROWS($1:37)&gt;COUNT(Dong6),"",OFFSET(TH!L$1,SMALL(Dong6,ROWS($1:37)),))</f>
        <v>1521</v>
      </c>
      <c r="G47" s="696" t="str">
        <f ca="1">IF(ROWS($1:37)&gt;COUNT(Dong6),"",OFFSET(TH!M$1,SMALL(Dong6,ROWS($1:37)),))</f>
        <v>331</v>
      </c>
      <c r="H47" s="697">
        <f ca="1">IF(ROWS($1:37)&gt;COUNT(Dong6),"",OFFSET(TH!K$1,SMALL(Dong6,ROWS($1:37)),))</f>
        <v>25014496</v>
      </c>
      <c r="I47" s="697">
        <f ca="1">IF(ROWS($1:37)&gt;COUNT(Dong6),"",OFFSET(TH!K$1,SMALL(Dong6,ROWS($1:37)),))</f>
        <v>25014496</v>
      </c>
    </row>
    <row r="48" spans="1:9" ht="21.75" customHeight="1">
      <c r="A48" s="694">
        <f ca="1">IF(ROWS($1:38)&gt;COUNT(Dong6),"",OFFSET(TH!C$1,SMALL(Dong6,ROWS($1:38)),))</f>
        <v>41012</v>
      </c>
      <c r="B48" s="693" t="str">
        <f ca="1">IF(ROWS($1:38)&gt;COUNT(Dong6),"",OFFSET(TH!D$1,SMALL(Dong6,ROWS($1:38)),))</f>
        <v>NL/N01</v>
      </c>
      <c r="C48" s="694">
        <f ca="1">IF(ROWS($1:38)&gt;COUNT(Dong6),"",OFFSET(TH!E$1,SMALL(Dong6,ROWS($1:38)),))</f>
        <v>41012</v>
      </c>
      <c r="D48" s="695" t="str">
        <f ca="1">IF(ROWS($1:38)&gt;COUNT(Dong6),"",OFFSET(TH!F$1,SMALL(Dong6,ROWS($1:38)),))</f>
        <v>Giấy tấm 3 lớp (225x145)</v>
      </c>
      <c r="E48" s="693">
        <f t="shared" ca="1" si="0"/>
        <v>38</v>
      </c>
      <c r="F48" s="696" t="str">
        <f ca="1">IF(ROWS($1:38)&gt;COUNT(Dong6),"",OFFSET(TH!L$1,SMALL(Dong6,ROWS($1:38)),))</f>
        <v>1521</v>
      </c>
      <c r="G48" s="696" t="str">
        <f ca="1">IF(ROWS($1:38)&gt;COUNT(Dong6),"",OFFSET(TH!M$1,SMALL(Dong6,ROWS($1:38)),))</f>
        <v>331</v>
      </c>
      <c r="H48" s="697">
        <f ca="1">IF(ROWS($1:38)&gt;COUNT(Dong6),"",OFFSET(TH!K$1,SMALL(Dong6,ROWS($1:38)),))</f>
        <v>3497440</v>
      </c>
      <c r="I48" s="697">
        <f ca="1">IF(ROWS($1:38)&gt;COUNT(Dong6),"",OFFSET(TH!K$1,SMALL(Dong6,ROWS($1:38)),))</f>
        <v>3497440</v>
      </c>
    </row>
    <row r="49" spans="1:10" ht="21.75" customHeight="1">
      <c r="A49" s="694">
        <f ca="1">IF(ROWS($1:39)&gt;COUNT(Dong6),"",OFFSET(TH!C$1,SMALL(Dong6,ROWS($1:39)),))</f>
        <v>41012</v>
      </c>
      <c r="B49" s="693" t="str">
        <f ca="1">IF(ROWS($1:39)&gt;COUNT(Dong6),"",OFFSET(TH!D$1,SMALL(Dong6,ROWS($1:39)),))</f>
        <v>NL/N01</v>
      </c>
      <c r="C49" s="694">
        <f ca="1">IF(ROWS($1:39)&gt;COUNT(Dong6),"",OFFSET(TH!E$1,SMALL(Dong6,ROWS($1:39)),))</f>
        <v>41012</v>
      </c>
      <c r="D49" s="695" t="str">
        <f ca="1">IF(ROWS($1:39)&gt;COUNT(Dong6),"",OFFSET(TH!F$1,SMALL(Dong6,ROWS($1:39)),))</f>
        <v>Giấy tấm 3 lớp (197x145)</v>
      </c>
      <c r="E49" s="693">
        <f t="shared" ca="1" si="0"/>
        <v>39</v>
      </c>
      <c r="F49" s="696" t="str">
        <f ca="1">IF(ROWS($1:39)&gt;COUNT(Dong6),"",OFFSET(TH!L$1,SMALL(Dong6,ROWS($1:39)),))</f>
        <v>1521</v>
      </c>
      <c r="G49" s="696" t="str">
        <f ca="1">IF(ROWS($1:39)&gt;COUNT(Dong6),"",OFFSET(TH!M$1,SMALL(Dong6,ROWS($1:39)),))</f>
        <v>331</v>
      </c>
      <c r="H49" s="697">
        <f ca="1">IF(ROWS($1:39)&gt;COUNT(Dong6),"",OFFSET(TH!K$1,SMALL(Dong6,ROWS($1:39)),))</f>
        <v>22966800</v>
      </c>
      <c r="I49" s="697">
        <f ca="1">IF(ROWS($1:39)&gt;COUNT(Dong6),"",OFFSET(TH!K$1,SMALL(Dong6,ROWS($1:39)),))</f>
        <v>22966800</v>
      </c>
    </row>
    <row r="50" spans="1:10" ht="21.75" customHeight="1">
      <c r="A50" s="694">
        <f ca="1">IF(ROWS($1:40)&gt;COUNT(Dong6),"",OFFSET(TH!C$1,SMALL(Dong6,ROWS($1:40)),))</f>
        <v>41012</v>
      </c>
      <c r="B50" s="693" t="str">
        <f ca="1">IF(ROWS($1:40)&gt;COUNT(Dong6),"",OFFSET(TH!D$1,SMALL(Dong6,ROWS($1:40)),))</f>
        <v>NL/N01</v>
      </c>
      <c r="C50" s="694">
        <f ca="1">IF(ROWS($1:40)&gt;COUNT(Dong6),"",OFFSET(TH!E$1,SMALL(Dong6,ROWS($1:40)),))</f>
        <v>41012</v>
      </c>
      <c r="D50" s="695" t="str">
        <f ca="1">IF(ROWS($1:40)&gt;COUNT(Dong6),"",OFFSET(TH!F$1,SMALL(Dong6,ROWS($1:40)),))</f>
        <v>Giấy tấm 3 lớp (217x160)</v>
      </c>
      <c r="E50" s="693">
        <f t="shared" ca="1" si="0"/>
        <v>40</v>
      </c>
      <c r="F50" s="696" t="str">
        <f ca="1">IF(ROWS($1:40)&gt;COUNT(Dong6),"",OFFSET(TH!L$1,SMALL(Dong6,ROWS($1:40)),))</f>
        <v>1521</v>
      </c>
      <c r="G50" s="696" t="str">
        <f ca="1">IF(ROWS($1:40)&gt;COUNT(Dong6),"",OFFSET(TH!M$1,SMALL(Dong6,ROWS($1:40)),))</f>
        <v>331</v>
      </c>
      <c r="H50" s="697">
        <f ca="1">IF(ROWS($1:40)&gt;COUNT(Dong6),"",OFFSET(TH!K$1,SMALL(Dong6,ROWS($1:40)),))</f>
        <v>2791440</v>
      </c>
      <c r="I50" s="697">
        <f ca="1">IF(ROWS($1:40)&gt;COUNT(Dong6),"",OFFSET(TH!K$1,SMALL(Dong6,ROWS($1:40)),))</f>
        <v>2791440</v>
      </c>
    </row>
    <row r="51" spans="1:10" ht="21.75" customHeight="1">
      <c r="A51" s="651"/>
      <c r="B51" s="651"/>
      <c r="C51" s="651"/>
      <c r="D51" s="651"/>
      <c r="E51" s="650" t="str">
        <f t="shared" si="0"/>
        <v/>
      </c>
      <c r="F51" s="651"/>
      <c r="G51" s="651"/>
      <c r="H51" s="657"/>
      <c r="I51" s="657"/>
    </row>
    <row r="52" spans="1:10" ht="21.75" customHeight="1">
      <c r="A52" s="652"/>
      <c r="B52" s="652"/>
      <c r="C52" s="652"/>
      <c r="D52" s="653" t="s">
        <v>390</v>
      </c>
      <c r="E52" s="654" t="s">
        <v>19</v>
      </c>
      <c r="F52" s="654"/>
      <c r="G52" s="654" t="s">
        <v>19</v>
      </c>
      <c r="H52" s="658">
        <f ca="1">SUBTOTAL(9,$H$10:$H$51)</f>
        <v>8908501668</v>
      </c>
      <c r="I52" s="658">
        <f ca="1">SUBTOTAL(9,I10:I51)</f>
        <v>8908501668</v>
      </c>
    </row>
    <row r="53" spans="1:10">
      <c r="A53" s="655" t="s">
        <v>385</v>
      </c>
    </row>
    <row r="54" spans="1:10">
      <c r="A54" s="655" t="str">
        <f ca="1">"- Ngày mở sổ: "&amp;DAY($A$11)&amp;"/"&amp;MONTH($A$11)&amp;"/ " &amp;YEAR($A$11)</f>
        <v>- Ngày mở sổ: 1/4/ 2012</v>
      </c>
    </row>
    <row r="56" spans="1:10">
      <c r="H56" s="642" t="s">
        <v>386</v>
      </c>
      <c r="I56" s="642"/>
      <c r="J56" s="642"/>
    </row>
    <row r="57" spans="1:10">
      <c r="B57" s="642" t="s">
        <v>387</v>
      </c>
      <c r="D57" s="642" t="s">
        <v>12</v>
      </c>
      <c r="H57" s="642" t="s">
        <v>388</v>
      </c>
      <c r="I57" s="642"/>
      <c r="J57" s="642"/>
    </row>
    <row r="58" spans="1:10">
      <c r="B58" s="642" t="s">
        <v>13</v>
      </c>
      <c r="D58" s="642" t="s">
        <v>13</v>
      </c>
      <c r="H58" s="642" t="s">
        <v>138</v>
      </c>
      <c r="I58" s="642"/>
      <c r="J58" s="642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9" t="s">
        <v>149</v>
      </c>
      <c r="H2" s="969"/>
      <c r="I2" s="969"/>
    </row>
    <row r="3" spans="1:9" ht="15.75" customHeight="1">
      <c r="A3" s="1" t="str">
        <f>TH!A2</f>
        <v>Địa chỉ: 1A227/1 Ấp 1, Phạm Văn Hai, Bình Chánh, TPHCM</v>
      </c>
      <c r="G3" s="970" t="s">
        <v>121</v>
      </c>
      <c r="H3" s="970"/>
      <c r="I3" s="970"/>
    </row>
    <row r="4" spans="1:9">
      <c r="F4" s="17"/>
      <c r="G4" s="970"/>
      <c r="H4" s="970"/>
      <c r="I4" s="970"/>
    </row>
    <row r="5" spans="1:9" ht="17.25" customHeight="1">
      <c r="A5" s="971" t="s">
        <v>151</v>
      </c>
      <c r="B5" s="971"/>
      <c r="C5" s="971"/>
      <c r="D5" s="971"/>
      <c r="E5" s="971"/>
      <c r="F5" s="971"/>
      <c r="G5" s="971"/>
      <c r="H5" s="971"/>
      <c r="I5" s="971"/>
    </row>
    <row r="6" spans="1:9">
      <c r="A6" s="972" t="s">
        <v>152</v>
      </c>
      <c r="B6" s="973"/>
      <c r="C6" s="973"/>
      <c r="D6" s="973"/>
      <c r="E6" s="973"/>
      <c r="F6" s="973"/>
      <c r="G6" s="973"/>
      <c r="H6" s="973"/>
      <c r="I6" s="973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str">
        <f>VLOOKUP($E$7,DSTK,2,0)</f>
        <v>Chi phí trả trước ngắn hạn</v>
      </c>
    </row>
    <row r="9" spans="1:9">
      <c r="A9" s="973" t="s">
        <v>29</v>
      </c>
      <c r="B9" s="974"/>
      <c r="C9" s="974"/>
      <c r="D9" s="974"/>
      <c r="E9" s="974"/>
      <c r="F9" s="974"/>
      <c r="G9" s="974"/>
      <c r="H9" s="974"/>
      <c r="I9" s="974"/>
    </row>
    <row r="10" spans="1:9" ht="9.75" customHeight="1">
      <c r="C10" s="975"/>
      <c r="D10" s="976"/>
      <c r="E10" s="976"/>
      <c r="F10" s="976"/>
      <c r="G10" s="976"/>
      <c r="H10" s="976"/>
      <c r="I10" s="976"/>
    </row>
    <row r="11" spans="1:9" s="18" customFormat="1" ht="19.5" customHeight="1">
      <c r="A11" s="977" t="s">
        <v>20</v>
      </c>
      <c r="B11" s="967" t="s">
        <v>1</v>
      </c>
      <c r="C11" s="978"/>
      <c r="D11" s="977" t="s">
        <v>0</v>
      </c>
      <c r="E11" s="977" t="s">
        <v>14</v>
      </c>
      <c r="F11" s="967" t="s">
        <v>21</v>
      </c>
      <c r="G11" s="978"/>
      <c r="H11" s="967" t="s">
        <v>31</v>
      </c>
      <c r="I11" s="968"/>
    </row>
    <row r="12" spans="1:9" s="18" customFormat="1" ht="32.25" customHeight="1">
      <c r="A12" s="977"/>
      <c r="B12" s="238" t="s">
        <v>15</v>
      </c>
      <c r="C12" s="238" t="s">
        <v>32</v>
      </c>
      <c r="D12" s="977"/>
      <c r="E12" s="977"/>
      <c r="F12" s="238" t="s">
        <v>22</v>
      </c>
      <c r="G12" s="238" t="s">
        <v>23</v>
      </c>
      <c r="H12" s="238" t="s">
        <v>22</v>
      </c>
      <c r="I12" s="238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9"/>
      <c r="B14" s="234"/>
      <c r="C14" s="239"/>
      <c r="D14" s="233" t="s">
        <v>7</v>
      </c>
      <c r="E14" s="234"/>
      <c r="F14" s="240"/>
      <c r="G14" s="240"/>
      <c r="H14" s="240">
        <f>VLOOKUP($E$7,DSTK,3,0)</f>
        <v>4566819</v>
      </c>
      <c r="I14" s="240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40910</v>
      </c>
      <c r="B15" s="199" t="str">
        <f ca="1">IF(ROWS($1:1)&gt;COUNT(Dong5),"",OFFSET(TH!D$1,SMALL(Dong5,ROWS($1:1)),))</f>
        <v>CTGS</v>
      </c>
      <c r="C15" s="199">
        <f ca="1">IF(ROWS($1:1)&gt;COUNT(Dong5),"",OFFSET(TH!E$1,SMALL(Dong5,ROWS($1:1)),))</f>
        <v>40910</v>
      </c>
      <c r="D15" s="241" t="str">
        <f ca="1">IF(ROWS($1:1)&gt;COUNT(Dong5),"",OFFSET(TH!F$1,SMALL(Dong5,ROWS($1:1)),))</f>
        <v>Phân bổ chi phí trả trước ngắn hạn</v>
      </c>
      <c r="E15" s="199" t="str">
        <f ca="1">IF(ROWS($1:1)&gt;COUNT(Dong5),"",IF(OFFSET(TH!L$1,SMALL(Dong5,ROWS($1:1)),)=$E$7,OFFSET(TH!M$1,SMALL(Dong5,ROWS($1:1)),),OFFSET(TH!L$1,SMALL(Dong5,ROWS($1:1)),)))</f>
        <v>154</v>
      </c>
      <c r="F15" s="242">
        <f ca="1">IF(ROWS($1:1)&gt;COUNT(Dong5),0,IF(OFFSET(TH!L$1,SMALL(Dong5,ROWS($1:1)),)=$E$7,OFFSET(TH!K$1,SMALL(Dong5,ROWS($1:1)),),0))</f>
        <v>0</v>
      </c>
      <c r="G15" s="240">
        <f ca="1">IF(ROWS($1:1)&gt;COUNT(Dong5),0,IF(OFFSET(TH!M$1,SMALL(Dong5,ROWS($1:1)),)=$E$7,OFFSET(TH!K$1,SMALL(Dong5,ROWS($1:1)),),0))</f>
        <v>4566819</v>
      </c>
      <c r="H15" s="243">
        <f ca="1">IF(D15&lt;&gt;"",MAX(H14+F15-G15-I14,0),0)</f>
        <v>0</v>
      </c>
      <c r="I15" s="243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41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2">
        <f ca="1">IF(ROWS($1:2)&gt;COUNT(Dong5),0,IF(OFFSET(TH!L$1,SMALL(Dong5,ROWS($1:2)),)=$E$7,OFFSET(TH!K$1,SMALL(Dong5,ROWS($1:2)),),0))</f>
        <v>0</v>
      </c>
      <c r="G16" s="240">
        <f ca="1">IF(ROWS($1:2)&gt;COUNT(Dong5),0,IF(OFFSET(TH!M$1,SMALL(Dong5,ROWS($1:2)),)=$E$7,OFFSET(TH!K$1,SMALL(Dong5,ROWS($1:2)),),0))</f>
        <v>0</v>
      </c>
      <c r="H16" s="243">
        <f t="shared" ref="H16:H20" ca="1" si="0">IF(D16&lt;&gt;"",MAX(H15+F16-G16-I15,0),0)</f>
        <v>0</v>
      </c>
      <c r="I16" s="243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41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2">
        <f ca="1">IF(ROWS($1:3)&gt;COUNT(Dong5),0,IF(OFFSET(TH!L$1,SMALL(Dong5,ROWS($1:3)),)=$E$7,OFFSET(TH!K$1,SMALL(Dong5,ROWS($1:3)),),0))</f>
        <v>0</v>
      </c>
      <c r="G17" s="240">
        <f ca="1">IF(ROWS($1:3)&gt;COUNT(Dong5),0,IF(OFFSET(TH!M$1,SMALL(Dong5,ROWS($1:3)),)=$E$7,OFFSET(TH!K$1,SMALL(Dong5,ROWS($1:3)),),0))</f>
        <v>0</v>
      </c>
      <c r="H17" s="243">
        <f t="shared" ca="1" si="0"/>
        <v>0</v>
      </c>
      <c r="I17" s="243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41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2">
        <f ca="1">IF(ROWS($1:4)&gt;COUNT(Dong5),0,IF(OFFSET(TH!L$1,SMALL(Dong5,ROWS($1:4)),)=$E$7,OFFSET(TH!K$1,SMALL(Dong5,ROWS($1:4)),),0))</f>
        <v>0</v>
      </c>
      <c r="G18" s="240">
        <f ca="1">IF(ROWS($1:4)&gt;COUNT(Dong5),0,IF(OFFSET(TH!M$1,SMALL(Dong5,ROWS($1:4)),)=$E$7,OFFSET(TH!K$1,SMALL(Dong5,ROWS($1:4)),),0))</f>
        <v>0</v>
      </c>
      <c r="H18" s="243">
        <f t="shared" ca="1" si="0"/>
        <v>0</v>
      </c>
      <c r="I18" s="243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41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2">
        <f ca="1">IF(ROWS($1:5)&gt;COUNT(Dong5),0,IF(OFFSET(TH!L$1,SMALL(Dong5,ROWS($1:5)),)=$E$7,OFFSET(TH!K$1,SMALL(Dong5,ROWS($1:5)),),0))</f>
        <v>0</v>
      </c>
      <c r="G19" s="240">
        <f ca="1">IF(ROWS($1:5)&gt;COUNT(Dong5),0,IF(OFFSET(TH!M$1,SMALL(Dong5,ROWS($1:5)),)=$E$7,OFFSET(TH!K$1,SMALL(Dong5,ROWS($1:5)),),0))</f>
        <v>0</v>
      </c>
      <c r="H19" s="243">
        <f t="shared" ca="1" si="0"/>
        <v>0</v>
      </c>
      <c r="I19" s="243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41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2">
        <f ca="1">IF(ROWS($1:6)&gt;COUNT(Dong5),0,IF(OFFSET(TH!L$1,SMALL(Dong5,ROWS($1:6)),)=$E$7,OFFSET(TH!K$1,SMALL(Dong5,ROWS($1:6)),),0))</f>
        <v>0</v>
      </c>
      <c r="G20" s="240">
        <f ca="1">IF(ROWS($1:6)&gt;COUNT(Dong5),0,IF(OFFSET(TH!M$1,SMALL(Dong5,ROWS($1:6)),)=$E$7,OFFSET(TH!K$1,SMALL(Dong5,ROWS($1:6)),),0))</f>
        <v>0</v>
      </c>
      <c r="H20" s="243">
        <f t="shared" ca="1" si="0"/>
        <v>0</v>
      </c>
      <c r="I20" s="243">
        <f t="shared" ca="1" si="1"/>
        <v>0</v>
      </c>
    </row>
    <row r="21" spans="1:9" s="18" customFormat="1" ht="18" customHeight="1">
      <c r="A21" s="199"/>
      <c r="B21" s="199"/>
      <c r="C21" s="199"/>
      <c r="D21" s="241"/>
      <c r="E21" s="199"/>
      <c r="F21" s="242"/>
      <c r="G21" s="240"/>
      <c r="H21" s="243"/>
      <c r="I21" s="243"/>
    </row>
    <row r="22" spans="1:9" s="18" customFormat="1" ht="18" customHeight="1">
      <c r="A22" s="199"/>
      <c r="B22" s="200"/>
      <c r="C22" s="199"/>
      <c r="D22" s="235" t="s">
        <v>135</v>
      </c>
      <c r="E22" s="200" t="s">
        <v>19</v>
      </c>
      <c r="F22" s="244">
        <f ca="1">SUM(F15:F21)</f>
        <v>0</v>
      </c>
      <c r="G22" s="244">
        <f ca="1">SUM(G15:G21)</f>
        <v>4566819</v>
      </c>
      <c r="H22" s="244" t="s">
        <v>19</v>
      </c>
      <c r="I22" s="244" t="s">
        <v>19</v>
      </c>
    </row>
    <row r="23" spans="1:9" s="18" customFormat="1" ht="18" customHeight="1">
      <c r="A23" s="245"/>
      <c r="B23" s="237"/>
      <c r="C23" s="245"/>
      <c r="D23" s="236" t="s">
        <v>10</v>
      </c>
      <c r="E23" s="237" t="s">
        <v>19</v>
      </c>
      <c r="F23" s="246" t="s">
        <v>19</v>
      </c>
      <c r="G23" s="246" t="s">
        <v>19</v>
      </c>
      <c r="H23" s="247">
        <f ca="1">MAX(H14+F22-G22-I14,0)</f>
        <v>0</v>
      </c>
      <c r="I23" s="247">
        <f ca="1">MAX(I14+G22-F22-H14,0)</f>
        <v>0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8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66" t="s">
        <v>156</v>
      </c>
      <c r="F27" s="966"/>
      <c r="G27" s="966"/>
      <c r="H27" s="966"/>
      <c r="I27" s="966"/>
    </row>
    <row r="28" spans="1:9" s="18" customFormat="1" ht="12.75">
      <c r="A28" s="966" t="s">
        <v>11</v>
      </c>
      <c r="B28" s="966"/>
      <c r="C28" s="966"/>
      <c r="D28" s="966"/>
      <c r="E28" s="966" t="s">
        <v>12</v>
      </c>
      <c r="F28" s="966"/>
      <c r="G28" s="966"/>
      <c r="H28" s="966"/>
      <c r="I28" s="966"/>
    </row>
    <row r="29" spans="1:9" s="18" customFormat="1" ht="12.75">
      <c r="A29" s="966" t="s">
        <v>13</v>
      </c>
      <c r="B29" s="966"/>
      <c r="C29" s="966"/>
      <c r="D29" s="966"/>
      <c r="E29" s="966" t="s">
        <v>13</v>
      </c>
      <c r="F29" s="966"/>
      <c r="G29" s="966"/>
      <c r="H29" s="966"/>
      <c r="I29" s="966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79" t="s">
        <v>158</v>
      </c>
      <c r="B36" s="979"/>
      <c r="C36" s="979"/>
      <c r="D36" s="979"/>
    </row>
  </sheetData>
  <mergeCells count="18">
    <mergeCell ref="A28:D28"/>
    <mergeCell ref="E28:I28"/>
    <mergeCell ref="A29:D29"/>
    <mergeCell ref="E29:I29"/>
    <mergeCell ref="A36:D36"/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3"/>
  <sheetViews>
    <sheetView topLeftCell="A9" zoomScale="90" workbookViewId="0">
      <pane ySplit="5" topLeftCell="A110" activePane="bottomLeft" state="frozen"/>
      <selection activeCell="A9" sqref="A9"/>
      <selection pane="bottomLeft" activeCell="H122" sqref="H12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69" t="s">
        <v>120</v>
      </c>
      <c r="H1" s="969"/>
      <c r="I1" s="969"/>
      <c r="J1" s="96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0" t="s">
        <v>121</v>
      </c>
      <c r="H2" s="970"/>
      <c r="I2" s="970"/>
      <c r="J2" s="970"/>
    </row>
    <row r="3" spans="1:15" s="3" customFormat="1" ht="16.5" customHeight="1">
      <c r="A3" s="4"/>
      <c r="B3" s="16"/>
      <c r="C3" s="109"/>
      <c r="D3" s="109"/>
      <c r="E3" s="16"/>
      <c r="G3" s="970"/>
      <c r="H3" s="970"/>
      <c r="I3" s="970"/>
      <c r="J3" s="97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0" t="s">
        <v>122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>$L$11&amp;" / 2015"</f>
        <v>Quý II / 2015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123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124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2"/>
      <c r="I9" s="112" t="s">
        <v>125</v>
      </c>
    </row>
    <row r="10" spans="1:15" ht="33" customHeight="1" thickBot="1">
      <c r="A10" s="984" t="s">
        <v>20</v>
      </c>
      <c r="B10" s="984" t="s">
        <v>126</v>
      </c>
      <c r="C10" s="983" t="s">
        <v>127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128</v>
      </c>
      <c r="J10" s="983" t="s">
        <v>129</v>
      </c>
      <c r="L10" s="624"/>
      <c r="N10" s="958" t="s">
        <v>360</v>
      </c>
      <c r="O10" s="958"/>
    </row>
    <row r="11" spans="1:15" ht="24" customHeight="1" thickBot="1">
      <c r="A11" s="985"/>
      <c r="B11" s="985"/>
      <c r="C11" s="113" t="s">
        <v>130</v>
      </c>
      <c r="D11" s="113" t="s">
        <v>131</v>
      </c>
      <c r="E11" s="983"/>
      <c r="F11" s="985"/>
      <c r="G11" s="113" t="s">
        <v>22</v>
      </c>
      <c r="H11" s="113" t="s">
        <v>23</v>
      </c>
      <c r="I11" s="983"/>
      <c r="J11" s="983"/>
      <c r="L11" s="178" t="s">
        <v>399</v>
      </c>
      <c r="N11" s="661">
        <f>IF(L11="Quý I",1,IF(L11="Quý II",4,IF(L11="Quý III",7,IF(L11="Quý IV",10,""))))</f>
        <v>4</v>
      </c>
      <c r="O11" s="661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62"/>
      <c r="O12" s="662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1864492118</v>
      </c>
      <c r="J13" s="117"/>
      <c r="N13" s="663"/>
      <c r="O13" s="663"/>
    </row>
    <row r="14" spans="1:15" ht="19.5" customHeight="1">
      <c r="A14" s="120">
        <f ca="1">IF(ROWS($1:1)&gt;COUNT(Dong1),"",OFFSET(TH!C$1,SMALL(Dong1,ROWS($1:1)),))</f>
        <v>41000</v>
      </c>
      <c r="B14" s="120">
        <f ca="1">IF(ROWS($1:1)&gt;COUNT(Dong1),"",OFFSET(TH!E$1,SMALL(Dong1,ROWS($1:1)),))</f>
        <v>40987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4" t="str">
        <f ca="1">IF(ROWS($1:1)&gt;COUNT(Dong1),"",OFFSET(TH!F$1,SMALL(Dong1,ROWS($1:1)),))</f>
        <v>Cước dịch vụ viễn thông TPHCM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904950</v>
      </c>
      <c r="I14" s="121">
        <f ca="1">IF(E14&lt;&gt;"",I13+G14-H14,0)</f>
        <v>1863587168</v>
      </c>
      <c r="J14" s="126"/>
      <c r="N14" s="664"/>
      <c r="O14" s="664"/>
    </row>
    <row r="15" spans="1:15" ht="19.5" customHeight="1">
      <c r="A15" s="120">
        <f ca="1">IF(ROWS($1:2)&gt;COUNT(Dong1),"",OFFSET(TH!C$1,SMALL(Dong1,ROWS($1:2)),))</f>
        <v>41000</v>
      </c>
      <c r="B15" s="120">
        <f ca="1">IF(ROWS($1:2)&gt;COUNT(Dong1),"",OFFSET(TH!E$1,SMALL(Dong1,ROWS($1:2)),))</f>
        <v>40987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4" t="str">
        <f ca="1">IF(ROWS($1:2)&gt;COUNT(Dong1),"",OFFSET(TH!F$1,SMALL(Dong1,ROWS($1:2)),))</f>
        <v>VAT Cước dịch vụ viễn thông TPHCM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90494</v>
      </c>
      <c r="I15" s="121">
        <f t="shared" ref="I15:I78" ca="1" si="0">IF(E15&lt;&gt;"",I14+G15-H15,0)</f>
        <v>1863496674</v>
      </c>
      <c r="J15" s="126"/>
      <c r="N15" s="664"/>
      <c r="O15" s="664"/>
    </row>
    <row r="16" spans="1:15" ht="19.5" customHeight="1">
      <c r="A16" s="120">
        <f ca="1">IF(ROWS($1:3)&gt;COUNT(Dong1),"",OFFSET(TH!C$1,SMALL(Dong1,ROWS($1:3)),))</f>
        <v>41002</v>
      </c>
      <c r="B16" s="120">
        <f ca="1">IF(ROWS($1:3)&gt;COUNT(Dong1),"",OFFSET(TH!E$1,SMALL(Dong1,ROWS($1:3)),))</f>
        <v>41002</v>
      </c>
      <c r="C16" s="121" t="str">
        <f ca="1">IF(ROWS($1:3)&gt;COUNT(Dong1),"",IF(OFFSET(TH!L$1,SMALL(Dong1,ROWS($1:3)),)="1111",OFFSET(TH!D$1,SMALL(Dong1,ROWS($1:3)),),""))</f>
        <v>T01</v>
      </c>
      <c r="D16" s="122" t="str">
        <f ca="1">IF(ROWS($1:3)&gt;COUNT(Dong1),"",IF(OFFSET(TH!M$1,SMALL(Dong1,ROWS($1:3)),)="1111",OFFSET(TH!D$1,SMALL(Dong1,ROWS($1:3)),),""))</f>
        <v/>
      </c>
      <c r="E16" s="224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21500000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1884996674</v>
      </c>
      <c r="J16" s="126"/>
      <c r="N16" s="664"/>
      <c r="O16" s="664"/>
    </row>
    <row r="17" spans="1:15" ht="19.5" customHeight="1">
      <c r="A17" s="120">
        <f ca="1">IF(ROWS($1:4)&gt;COUNT(Dong1),"",OFFSET(TH!C$1,SMALL(Dong1,ROWS($1:4)),))</f>
        <v>41003</v>
      </c>
      <c r="B17" s="120">
        <f ca="1">IF(ROWS($1:4)&gt;COUNT(Dong1),"",OFFSET(TH!E$1,SMALL(Dong1,ROWS($1:4)),))</f>
        <v>41003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4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7652700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1892649374</v>
      </c>
      <c r="J17" s="126"/>
      <c r="N17" s="664"/>
      <c r="O17" s="664"/>
    </row>
    <row r="18" spans="1:15" ht="19.5" customHeight="1">
      <c r="A18" s="120">
        <f ca="1">IF(ROWS($1:5)&gt;COUNT(Dong1),"",OFFSET(TH!C$1,SMALL(Dong1,ROWS($1:5)),))</f>
        <v>41004</v>
      </c>
      <c r="B18" s="120">
        <f ca="1">IF(ROWS($1:5)&gt;COUNT(Dong1),"",OFFSET(TH!E$1,SMALL(Dong1,ROWS($1:5)),))</f>
        <v>41004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4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37500000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1930149374</v>
      </c>
      <c r="J18" s="126"/>
      <c r="N18" s="664"/>
      <c r="O18" s="664"/>
    </row>
    <row r="19" spans="1:15" ht="19.5" customHeight="1">
      <c r="A19" s="120">
        <f ca="1">IF(ROWS($1:6)&gt;COUNT(Dong1),"",OFFSET(TH!C$1,SMALL(Dong1,ROWS($1:6)),))</f>
        <v>41009</v>
      </c>
      <c r="B19" s="120">
        <f ca="1">IF(ROWS($1:6)&gt;COUNT(Dong1),"",OFFSET(TH!E$1,SMALL(Dong1,ROWS($1:6)),))</f>
        <v>41009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4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30000000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1960149374</v>
      </c>
      <c r="J19" s="126"/>
      <c r="N19" s="664"/>
      <c r="O19" s="664"/>
    </row>
    <row r="20" spans="1:15" ht="19.5" customHeight="1">
      <c r="A20" s="120">
        <f ca="1">IF(ROWS($1:7)&gt;COUNT(Dong1),"",OFFSET(TH!C$1,SMALL(Dong1,ROWS($1:7)),))</f>
        <v>41009</v>
      </c>
      <c r="B20" s="120">
        <f ca="1">IF(ROWS($1:7)&gt;COUNT(Dong1),"",OFFSET(TH!E$1,SMALL(Dong1,ROWS($1:7)),))</f>
        <v>41009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4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7484752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1967634126</v>
      </c>
      <c r="J20" s="126"/>
      <c r="N20" s="664"/>
      <c r="O20" s="664"/>
    </row>
    <row r="21" spans="1:15" ht="19.5" customHeight="1">
      <c r="A21" s="120">
        <f ca="1">IF(ROWS($1:8)&gt;COUNT(Dong1),"",OFFSET(TH!C$1,SMALL(Dong1,ROWS($1:8)),))</f>
        <v>41010</v>
      </c>
      <c r="B21" s="120">
        <f ca="1">IF(ROWS($1:8)&gt;COUNT(Dong1),"",OFFSET(TH!E$1,SMALL(Dong1,ROWS($1:8)),))</f>
        <v>41010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4" t="str">
        <f ca="1">IF(ROWS($1:8)&gt;COUNT(Dong1),"",OFFSET(TH!F$1,SMALL(Dong1,ROWS($1:8)),))</f>
        <v>Thu tiền hàng</v>
      </c>
      <c r="F21" s="124" t="str">
        <f ca="1">IF(ROWS($1:8)&gt;COUNT(Dong1),"",IF(OFFSET(TH!M$1,SMALL(Dong1,ROWS($1:8)),)="1111",OFFSET(TH!L$1,SMALL(Dong1,ROWS($1:8)),),OFFSET(TH!M$1,SMALL(Dong1,ROWS($1:8)),)))</f>
        <v>131</v>
      </c>
      <c r="G21" s="125">
        <f ca="1">IF(ROWS($1:8)&gt;COUNT(Dong1),"",IF(OFFSET(TH!L$1,SMALL(Dong1,ROWS($1:8)),)="1111",OFFSET(TH!K$1,SMALL(Dong1,ROWS($1:8)),),0))</f>
        <v>1625778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1969259904</v>
      </c>
      <c r="J21" s="126"/>
      <c r="N21" s="664"/>
      <c r="O21" s="664"/>
    </row>
    <row r="22" spans="1:15" ht="19.5" customHeight="1">
      <c r="A22" s="120">
        <f ca="1">IF(ROWS($1:9)&gt;COUNT(Dong1),"",OFFSET(TH!C$1,SMALL(Dong1,ROWS($1:9)),))</f>
        <v>41016</v>
      </c>
      <c r="B22" s="120">
        <f ca="1">IF(ROWS($1:9)&gt;COUNT(Dong1),"",OFFSET(TH!E$1,SMALL(Dong1,ROWS($1:9)),))</f>
        <v>41016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C02</v>
      </c>
      <c r="E22" s="224" t="str">
        <f ca="1">IF(ROWS($1:9)&gt;COUNT(Dong1),"",OFFSET(TH!F$1,SMALL(Dong1,ROWS($1:9)),))</f>
        <v>Cước dịch vụ viễn thông TPHCM</v>
      </c>
      <c r="F22" s="124" t="str">
        <f ca="1">IF(ROWS($1:9)&gt;COUNT(Dong1),"",IF(OFFSET(TH!M$1,SMALL(Dong1,ROWS($1:9)),)="1111",OFFSET(TH!L$1,SMALL(Dong1,ROWS($1:9)),),OFFSET(TH!M$1,SMALL(Dong1,ROWS($1:9)),)))</f>
        <v>642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953770</v>
      </c>
      <c r="I22" s="121">
        <f t="shared" ca="1" si="0"/>
        <v>1968306134</v>
      </c>
      <c r="J22" s="126"/>
      <c r="N22" s="664"/>
      <c r="O22" s="664"/>
    </row>
    <row r="23" spans="1:15" ht="19.5" customHeight="1">
      <c r="A23" s="120">
        <f ca="1">IF(ROWS($1:10)&gt;COUNT(Dong1),"",OFFSET(TH!C$1,SMALL(Dong1,ROWS($1:10)),))</f>
        <v>41016</v>
      </c>
      <c r="B23" s="120">
        <f ca="1">IF(ROWS($1:10)&gt;COUNT(Dong1),"",OFFSET(TH!E$1,SMALL(Dong1,ROWS($1:10)),))</f>
        <v>41016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C02</v>
      </c>
      <c r="E23" s="224" t="str">
        <f ca="1">IF(ROWS($1:10)&gt;COUNT(Dong1),"",OFFSET(TH!F$1,SMALL(Dong1,ROWS($1:10)),))</f>
        <v>VAT 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1331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95378</v>
      </c>
      <c r="I23" s="121">
        <f t="shared" ca="1" si="0"/>
        <v>1968210756</v>
      </c>
      <c r="J23" s="126"/>
      <c r="N23" s="664"/>
      <c r="O23" s="664"/>
    </row>
    <row r="24" spans="1:15" ht="19.5" customHeight="1">
      <c r="A24" s="120">
        <f ca="1">IF(ROWS($1:11)&gt;COUNT(Dong1),"",OFFSET(TH!C$1,SMALL(Dong1,ROWS($1:11)),))</f>
        <v>41016</v>
      </c>
      <c r="B24" s="120">
        <f ca="1">IF(ROWS($1:11)&gt;COUNT(Dong1),"",OFFSET(TH!E$1,SMALL(Dong1,ROWS($1:11)),))</f>
        <v>41016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C03</v>
      </c>
      <c r="E24" s="224" t="str">
        <f ca="1">IF(ROWS($1:11)&gt;COUNT(Dong1),"",OFFSET(TH!F$1,SMALL(Dong1,ROWS($1:11)),))</f>
        <v>Mực in V-FLEX 6412 Red</v>
      </c>
      <c r="F24" s="124" t="str">
        <f ca="1">IF(ROWS($1:11)&gt;COUNT(Dong1),"",IF(OFFSET(TH!M$1,SMALL(Dong1,ROWS($1:11)),)="1111",OFFSET(TH!L$1,SMALL(Dong1,ROWS($1:11)),),OFFSET(TH!M$1,SMALL(Dong1,ROWS($1:11)),)))</f>
        <v>154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2680000</v>
      </c>
      <c r="I24" s="121">
        <f t="shared" ca="1" si="0"/>
        <v>1965530756</v>
      </c>
      <c r="J24" s="126"/>
      <c r="N24" s="664"/>
      <c r="O24" s="664"/>
    </row>
    <row r="25" spans="1:15" ht="19.5" customHeight="1">
      <c r="A25" s="120">
        <f ca="1">IF(ROWS($1:12)&gt;COUNT(Dong1),"",OFFSET(TH!C$1,SMALL(Dong1,ROWS($1:12)),))</f>
        <v>41016</v>
      </c>
      <c r="B25" s="120">
        <f ca="1">IF(ROWS($1:12)&gt;COUNT(Dong1),"",OFFSET(TH!E$1,SMALL(Dong1,ROWS($1:12)),))</f>
        <v>41016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C03</v>
      </c>
      <c r="E25" s="224" t="str">
        <f ca="1">IF(ROWS($1:12)&gt;COUNT(Dong1),"",OFFSET(TH!F$1,SMALL(Dong1,ROWS($1:12)),))</f>
        <v>VAT Mực in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268000</v>
      </c>
      <c r="I25" s="121">
        <f t="shared" ca="1" si="0"/>
        <v>1965262756</v>
      </c>
      <c r="J25" s="126"/>
      <c r="N25" s="664"/>
      <c r="O25" s="664"/>
    </row>
    <row r="26" spans="1:15" ht="19.5" customHeight="1">
      <c r="A26" s="120">
        <f ca="1">IF(ROWS($1:13)&gt;COUNT(Dong1),"",OFFSET(TH!C$1,SMALL(Dong1,ROWS($1:13)),))</f>
        <v>41016</v>
      </c>
      <c r="B26" s="120">
        <f ca="1">IF(ROWS($1:13)&gt;COUNT(Dong1),"",OFFSET(TH!E$1,SMALL(Dong1,ROWS($1:13)),))</f>
        <v>41016</v>
      </c>
      <c r="C26" s="121" t="str">
        <f ca="1">IF(ROWS($1:13)&gt;COUNT(Dong1),"",IF(OFFSET(TH!L$1,SMALL(Dong1,ROWS($1:13)),)="1111",OFFSET(TH!D$1,SMALL(Dong1,ROWS($1:13)),),""))</f>
        <v>T07</v>
      </c>
      <c r="D26" s="122" t="str">
        <f ca="1">IF(ROWS($1:13)&gt;COUNT(Dong1),"",IF(OFFSET(TH!M$1,SMALL(Dong1,ROWS($1:13)),)="1111",OFFSET(TH!D$1,SMALL(Dong1,ROWS($1:13)),),""))</f>
        <v/>
      </c>
      <c r="E26" s="224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11388322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1976651078</v>
      </c>
      <c r="J26" s="126"/>
      <c r="N26" s="664"/>
      <c r="O26" s="664"/>
    </row>
    <row r="27" spans="1:15" ht="19.5" customHeight="1">
      <c r="A27" s="120">
        <f ca="1">IF(ROWS($1:14)&gt;COUNT(Dong1),"",OFFSET(TH!C$1,SMALL(Dong1,ROWS($1:14)),))</f>
        <v>41017</v>
      </c>
      <c r="B27" s="120">
        <f ca="1">IF(ROWS($1:14)&gt;COUNT(Dong1),"",OFFSET(TH!E$1,SMALL(Dong1,ROWS($1:14)),))</f>
        <v>41017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C04</v>
      </c>
      <c r="E27" s="224" t="str">
        <f ca="1">IF(ROWS($1:14)&gt;COUNT(Dong1),"",OFFSET(TH!F$1,SMALL(Dong1,ROWS($1:14)),))</f>
        <v>Mực in V-FLEX 1562 Black 378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1560000</v>
      </c>
      <c r="I27" s="121">
        <f t="shared" ca="1" si="0"/>
        <v>1975091078</v>
      </c>
      <c r="J27" s="126"/>
      <c r="N27" s="664"/>
      <c r="O27" s="664"/>
    </row>
    <row r="28" spans="1:15" ht="19.5" customHeight="1">
      <c r="A28" s="120">
        <f ca="1">IF(ROWS($1:15)&gt;COUNT(Dong1),"",OFFSET(TH!C$1,SMALL(Dong1,ROWS($1:15)),))</f>
        <v>41017</v>
      </c>
      <c r="B28" s="120">
        <f ca="1">IF(ROWS($1:15)&gt;COUNT(Dong1),"",OFFSET(TH!E$1,SMALL(Dong1,ROWS($1:15)),))</f>
        <v>41017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C04</v>
      </c>
      <c r="E28" s="224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156000</v>
      </c>
      <c r="I28" s="121">
        <f t="shared" ca="1" si="0"/>
        <v>1974935078</v>
      </c>
      <c r="J28" s="126"/>
      <c r="N28" s="664"/>
      <c r="O28" s="664"/>
    </row>
    <row r="29" spans="1:15" ht="19.5" customHeight="1">
      <c r="A29" s="120">
        <f ca="1">IF(ROWS($1:16)&gt;COUNT(Dong1),"",OFFSET(TH!C$1,SMALL(Dong1,ROWS($1:16)),))</f>
        <v>41022</v>
      </c>
      <c r="B29" s="120">
        <f ca="1">IF(ROWS($1:16)&gt;COUNT(Dong1),"",OFFSET(TH!E$1,SMALL(Dong1,ROWS($1:16)),))</f>
        <v>41022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C05</v>
      </c>
      <c r="E29" s="224" t="str">
        <f ca="1">IF(ROWS($1:16)&gt;COUNT(Dong1),"",OFFSET(TH!F$1,SMALL(Dong1,ROWS($1:16)),))</f>
        <v>Mực vàng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1040000</v>
      </c>
      <c r="I29" s="121">
        <f t="shared" ca="1" si="0"/>
        <v>1973895078</v>
      </c>
      <c r="J29" s="126"/>
      <c r="N29" s="664"/>
      <c r="O29" s="664"/>
    </row>
    <row r="30" spans="1:15" ht="19.5" customHeight="1">
      <c r="A30" s="120">
        <f ca="1">IF(ROWS($1:17)&gt;COUNT(Dong1),"",OFFSET(TH!C$1,SMALL(Dong1,ROWS($1:17)),))</f>
        <v>41022</v>
      </c>
      <c r="B30" s="120">
        <f ca="1">IF(ROWS($1:17)&gt;COUNT(Dong1),"",OFFSET(TH!E$1,SMALL(Dong1,ROWS($1:17)),))</f>
        <v>41022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C05</v>
      </c>
      <c r="E30" s="224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104000</v>
      </c>
      <c r="I30" s="121">
        <f t="shared" ca="1" si="0"/>
        <v>1973791078</v>
      </c>
      <c r="J30" s="126"/>
      <c r="N30" s="664"/>
      <c r="O30" s="664"/>
    </row>
    <row r="31" spans="1:15" ht="19.5" customHeight="1">
      <c r="A31" s="120">
        <f ca="1">IF(ROWS($1:18)&gt;COUNT(Dong1),"",OFFSET(TH!C$1,SMALL(Dong1,ROWS($1:18)),))</f>
        <v>41023</v>
      </c>
      <c r="B31" s="120">
        <f ca="1">IF(ROWS($1:18)&gt;COUNT(Dong1),"",OFFSET(TH!E$1,SMALL(Dong1,ROWS($1:18)),))</f>
        <v>41023</v>
      </c>
      <c r="C31" s="121" t="str">
        <f ca="1">IF(ROWS($1:18)&gt;COUNT(Dong1),"",IF(OFFSET(TH!L$1,SMALL(Dong1,ROWS($1:18)),)="1111",OFFSET(TH!D$1,SMALL(Dong1,ROWS($1:18)),),""))</f>
        <v>T08</v>
      </c>
      <c r="D31" s="122" t="str">
        <f ca="1">IF(ROWS($1:18)&gt;COUNT(Dong1),"",IF(OFFSET(TH!M$1,SMALL(Dong1,ROWS($1:18)),)="1111",OFFSET(TH!D$1,SMALL(Dong1,ROWS($1:18)),),""))</f>
        <v/>
      </c>
      <c r="E31" s="224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12321672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1986112750</v>
      </c>
      <c r="J31" s="126"/>
      <c r="N31" s="664"/>
      <c r="O31" s="664"/>
    </row>
    <row r="32" spans="1:15" ht="19.5" customHeight="1">
      <c r="A32" s="120">
        <f ca="1">IF(ROWS($1:19)&gt;COUNT(Dong1),"",OFFSET(TH!C$1,SMALL(Dong1,ROWS($1:19)),))</f>
        <v>41023</v>
      </c>
      <c r="B32" s="120">
        <f ca="1">IF(ROWS($1:19)&gt;COUNT(Dong1),"",OFFSET(TH!E$1,SMALL(Dong1,ROWS($1:19)),))</f>
        <v>41023</v>
      </c>
      <c r="C32" s="121" t="str">
        <f ca="1">IF(ROWS($1:19)&gt;COUNT(Dong1),"",IF(OFFSET(TH!L$1,SMALL(Dong1,ROWS($1:19)),)="1111",OFFSET(TH!D$1,SMALL(Dong1,ROWS($1:19)),),""))</f>
        <v>T09</v>
      </c>
      <c r="D32" s="122" t="str">
        <f ca="1">IF(ROWS($1:19)&gt;COUNT(Dong1),"",IF(OFFSET(TH!M$1,SMALL(Dong1,ROWS($1:19)),)="1111",OFFSET(TH!D$1,SMALL(Dong1,ROWS($1:19)),),""))</f>
        <v/>
      </c>
      <c r="E32" s="224" t="str">
        <f ca="1">IF(ROWS($1:19)&gt;COUNT(Dong1),"",OFFSET(TH!F$1,SMALL(Dong1,ROWS($1:19)),))</f>
        <v>Thu tiền hàng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3802223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1989914973</v>
      </c>
      <c r="J32" s="126"/>
      <c r="N32" s="664"/>
      <c r="O32" s="664"/>
    </row>
    <row r="33" spans="1:15" ht="19.5" customHeight="1">
      <c r="A33" s="120">
        <f ca="1">IF(ROWS($1:20)&gt;COUNT(Dong1),"",OFFSET(TH!C$1,SMALL(Dong1,ROWS($1:20)),))</f>
        <v>41024</v>
      </c>
      <c r="B33" s="120">
        <f ca="1">IF(ROWS($1:20)&gt;COUNT(Dong1),"",OFFSET(TH!E$1,SMALL(Dong1,ROWS($1:20)),))</f>
        <v>41024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C06</v>
      </c>
      <c r="E33" s="224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17539524</v>
      </c>
      <c r="I33" s="121">
        <f t="shared" ca="1" si="0"/>
        <v>1972375449</v>
      </c>
      <c r="J33" s="126"/>
      <c r="N33" s="664"/>
      <c r="O33" s="664"/>
    </row>
    <row r="34" spans="1:15" ht="19.5" customHeight="1">
      <c r="A34" s="120">
        <f ca="1">IF(ROWS($1:21)&gt;COUNT(Dong1),"",OFFSET(TH!C$1,SMALL(Dong1,ROWS($1:21)),))</f>
        <v>41024</v>
      </c>
      <c r="B34" s="120">
        <f ca="1">IF(ROWS($1:21)&gt;COUNT(Dong1),"",OFFSET(TH!E$1,SMALL(Dong1,ROWS($1:21)),))</f>
        <v>41024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C07</v>
      </c>
      <c r="E34" s="224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10000000</v>
      </c>
      <c r="I34" s="121">
        <f t="shared" ca="1" si="0"/>
        <v>1962375449</v>
      </c>
      <c r="J34" s="126"/>
      <c r="N34" s="664"/>
      <c r="O34" s="664"/>
    </row>
    <row r="35" spans="1:15" ht="19.5" customHeight="1">
      <c r="A35" s="120">
        <f ca="1">IF(ROWS($1:22)&gt;COUNT(Dong1),"",OFFSET(TH!C$1,SMALL(Dong1,ROWS($1:22)),))</f>
        <v>41025</v>
      </c>
      <c r="B35" s="120">
        <f ca="1">IF(ROWS($1:22)&gt;COUNT(Dong1),"",OFFSET(TH!E$1,SMALL(Dong1,ROWS($1:22)),))</f>
        <v>41025</v>
      </c>
      <c r="C35" s="121" t="str">
        <f ca="1">IF(ROWS($1:22)&gt;COUNT(Dong1),"",IF(OFFSET(TH!L$1,SMALL(Dong1,ROWS($1:22)),)="1111",OFFSET(TH!D$1,SMALL(Dong1,ROWS($1:22)),),""))</f>
        <v>T10</v>
      </c>
      <c r="D35" s="122" t="str">
        <f ca="1">IF(ROWS($1:22)&gt;COUNT(Dong1),"",IF(OFFSET(TH!M$1,SMALL(Dong1,ROWS($1:22)),)="1111",OFFSET(TH!D$1,SMALL(Dong1,ROWS($1:22)),),""))</f>
        <v/>
      </c>
      <c r="E35" s="224" t="str">
        <f ca="1">IF(ROWS($1:22)&gt;COUNT(Dong1),"",OFFSET(TH!F$1,SMALL(Dong1,ROWS($1:22)),))</f>
        <v>Thu tiền hàng</v>
      </c>
      <c r="F35" s="124" t="str">
        <f ca="1">IF(ROWS($1:22)&gt;COUNT(Dong1),"",IF(OFFSET(TH!M$1,SMALL(Dong1,ROWS($1:22)),)="1111",OFFSET(TH!L$1,SMALL(Dong1,ROWS($1:22)),),OFFSET(TH!M$1,SMALL(Dong1,ROWS($1:22)),)))</f>
        <v>131</v>
      </c>
      <c r="G35" s="125">
        <f ca="1">IF(ROWS($1:22)&gt;COUNT(Dong1),"",IF(OFFSET(TH!L$1,SMALL(Dong1,ROWS($1:22)),)="1111",OFFSET(TH!K$1,SMALL(Dong1,ROWS($1:22)),),0))</f>
        <v>6623705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1968999154</v>
      </c>
      <c r="J35" s="126"/>
      <c r="N35" s="664"/>
      <c r="O35" s="664"/>
    </row>
    <row r="36" spans="1:15" ht="19.5" customHeight="1">
      <c r="A36" s="120">
        <f ca="1">IF(ROWS($1:23)&gt;COUNT(Dong1),"",OFFSET(TH!C$1,SMALL(Dong1,ROWS($1:23)),))</f>
        <v>41027</v>
      </c>
      <c r="B36" s="120">
        <f ca="1">IF(ROWS($1:23)&gt;COUNT(Dong1),"",OFFSET(TH!E$1,SMALL(Dong1,ROWS($1:23)),))</f>
        <v>41027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C08</v>
      </c>
      <c r="E36" s="224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15075930</v>
      </c>
      <c r="I36" s="121">
        <f t="shared" ca="1" si="0"/>
        <v>1953923224</v>
      </c>
      <c r="J36" s="126"/>
      <c r="N36" s="664"/>
      <c r="O36" s="664"/>
    </row>
    <row r="37" spans="1:15" ht="19.5" customHeight="1">
      <c r="A37" s="120">
        <f ca="1">IF(ROWS($1:24)&gt;COUNT(Dong1),"",OFFSET(TH!C$1,SMALL(Dong1,ROWS($1:24)),))</f>
        <v>41029</v>
      </c>
      <c r="B37" s="120">
        <f ca="1">IF(ROWS($1:24)&gt;COUNT(Dong1),"",OFFSET(TH!E$1,SMALL(Dong1,ROWS($1:24)),))</f>
        <v>41029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4" t="str">
        <f ca="1">IF(ROWS($1:24)&gt;COUNT(Dong1),"",OFFSET(TH!F$1,SMALL(Dong1,ROWS($1:24)),))</f>
        <v>Thanh toán tiền lương tháng 4/2012</v>
      </c>
      <c r="F37" s="124" t="str">
        <f ca="1">IF(ROWS($1:24)&gt;COUNT(Dong1),"",IF(OFFSET(TH!M$1,SMALL(Dong1,ROWS($1:24)),)="1111",OFFSET(TH!L$1,SMALL(Dong1,ROWS($1:24)),),OFFSET(TH!M$1,SMALL(Dong1,ROWS($1:24)),)))</f>
        <v>3341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22775000</v>
      </c>
      <c r="I37" s="121">
        <f t="shared" ca="1" si="0"/>
        <v>1931148224</v>
      </c>
      <c r="J37" s="126"/>
      <c r="N37" s="664"/>
      <c r="O37" s="664"/>
    </row>
    <row r="38" spans="1:15" ht="19.5" customHeight="1">
      <c r="A38" s="120">
        <f ca="1">IF(ROWS($1:25)&gt;COUNT(Dong1),"",OFFSET(TH!C$1,SMALL(Dong1,ROWS($1:25)),))</f>
        <v>41031</v>
      </c>
      <c r="B38" s="120">
        <f ca="1">IF(ROWS($1:25)&gt;COUNT(Dong1),"",OFFSET(TH!E$1,SMALL(Dong1,ROWS($1:25)),))</f>
        <v>41031</v>
      </c>
      <c r="C38" s="121" t="str">
        <f ca="1">IF(ROWS($1:25)&gt;COUNT(Dong1),"",IF(OFFSET(TH!L$1,SMALL(Dong1,ROWS($1:25)),)="1111",OFFSET(TH!D$1,SMALL(Dong1,ROWS($1:25)),),""))</f>
        <v>T11</v>
      </c>
      <c r="D38" s="122" t="str">
        <f ca="1">IF(ROWS($1:25)&gt;COUNT(Dong1),"",IF(OFFSET(TH!M$1,SMALL(Dong1,ROWS($1:25)),)="1111",OFFSET(TH!D$1,SMALL(Dong1,ROWS($1:25)),),""))</f>
        <v/>
      </c>
      <c r="E38" s="224" t="str">
        <f ca="1">IF(ROWS($1:25)&gt;COUNT(Dong1),"",OFFSET(TH!F$1,SMALL(Dong1,ROWS($1:25)),))</f>
        <v>Thu tiền hàng</v>
      </c>
      <c r="F38" s="124" t="str">
        <f ca="1">IF(ROWS($1:25)&gt;COUNT(Dong1),"",IF(OFFSET(TH!M$1,SMALL(Dong1,ROWS($1:25)),)="1111",OFFSET(TH!L$1,SMALL(Dong1,ROWS($1:25)),),OFFSET(TH!M$1,SMALL(Dong1,ROWS($1:25)),)))</f>
        <v>131</v>
      </c>
      <c r="G38" s="125">
        <f ca="1">IF(ROWS($1:25)&gt;COUNT(Dong1),"",IF(OFFSET(TH!L$1,SMALL(Dong1,ROWS($1:25)),)="1111",OFFSET(TH!K$1,SMALL(Dong1,ROWS($1:25)),),0))</f>
        <v>5523760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1936671984</v>
      </c>
      <c r="J38" s="126"/>
      <c r="N38" s="664"/>
      <c r="O38" s="664"/>
    </row>
    <row r="39" spans="1:15" ht="19.5" customHeight="1">
      <c r="A39" s="120">
        <f ca="1">IF(ROWS($1:26)&gt;COUNT(Dong1),"",OFFSET(TH!C$1,SMALL(Dong1,ROWS($1:26)),))</f>
        <v>41032</v>
      </c>
      <c r="B39" s="120">
        <f ca="1">IF(ROWS($1:26)&gt;COUNT(Dong1),"",OFFSET(TH!E$1,SMALL(Dong1,ROWS($1:26)),))</f>
        <v>41032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4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675119</v>
      </c>
      <c r="I39" s="121">
        <f t="shared" ca="1" si="0"/>
        <v>1935996865</v>
      </c>
      <c r="J39" s="126"/>
      <c r="N39" s="664"/>
      <c r="O39" s="664"/>
    </row>
    <row r="40" spans="1:15" ht="19.5" customHeight="1">
      <c r="A40" s="120">
        <f ca="1">IF(ROWS($1:27)&gt;COUNT(Dong1),"",OFFSET(TH!C$1,SMALL(Dong1,ROWS($1:27)),))</f>
        <v>41032</v>
      </c>
      <c r="B40" s="120">
        <f ca="1">IF(ROWS($1:27)&gt;COUNT(Dong1),"",OFFSET(TH!E$1,SMALL(Dong1,ROWS($1:27)),))</f>
        <v>41032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4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67511</v>
      </c>
      <c r="I40" s="121">
        <f t="shared" ca="1" si="0"/>
        <v>1935929354</v>
      </c>
      <c r="J40" s="126"/>
      <c r="N40" s="664"/>
      <c r="O40" s="664"/>
    </row>
    <row r="41" spans="1:15" ht="19.5" customHeight="1">
      <c r="A41" s="120">
        <f ca="1">IF(ROWS($1:28)&gt;COUNT(Dong1),"",OFFSET(TH!C$1,SMALL(Dong1,ROWS($1:28)),))</f>
        <v>41032</v>
      </c>
      <c r="B41" s="120">
        <f ca="1">IF(ROWS($1:28)&gt;COUNT(Dong1),"",OFFSET(TH!E$1,SMALL(Dong1,ROWS($1:28)),))</f>
        <v>41032</v>
      </c>
      <c r="C41" s="121" t="str">
        <f ca="1">IF(ROWS($1:28)&gt;COUNT(Dong1),"",IF(OFFSET(TH!L$1,SMALL(Dong1,ROWS($1:28)),)="1111",OFFSET(TH!D$1,SMALL(Dong1,ROWS($1:28)),),""))</f>
        <v>T12</v>
      </c>
      <c r="D41" s="122" t="str">
        <f ca="1">IF(ROWS($1:28)&gt;COUNT(Dong1),"",IF(OFFSET(TH!M$1,SMALL(Dong1,ROWS($1:28)),)="1111",OFFSET(TH!D$1,SMALL(Dong1,ROWS($1:28)),),""))</f>
        <v/>
      </c>
      <c r="E41" s="224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6665164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1942594518</v>
      </c>
      <c r="J41" s="126"/>
      <c r="N41" s="664"/>
      <c r="O41" s="664"/>
    </row>
    <row r="42" spans="1:15" ht="19.5" customHeight="1">
      <c r="A42" s="120">
        <f ca="1">IF(ROWS($1:29)&gt;COUNT(Dong1),"",OFFSET(TH!C$1,SMALL(Dong1,ROWS($1:29)),))</f>
        <v>41033</v>
      </c>
      <c r="B42" s="120">
        <f ca="1">IF(ROWS($1:29)&gt;COUNT(Dong1),"",OFFSET(TH!E$1,SMALL(Dong1,ROWS($1:29)),))</f>
        <v>41033</v>
      </c>
      <c r="C42" s="121" t="str">
        <f ca="1">IF(ROWS($1:29)&gt;COUNT(Dong1),"",IF(OFFSET(TH!L$1,SMALL(Dong1,ROWS($1:29)),)="1111",OFFSET(TH!D$1,SMALL(Dong1,ROWS($1:29)),),""))</f>
        <v>T13</v>
      </c>
      <c r="D42" s="122" t="str">
        <f ca="1">IF(ROWS($1:29)&gt;COUNT(Dong1),"",IF(OFFSET(TH!M$1,SMALL(Dong1,ROWS($1:29)),)="1111",OFFSET(TH!D$1,SMALL(Dong1,ROWS($1:29)),),""))</f>
        <v/>
      </c>
      <c r="E42" s="224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8314174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1950908692</v>
      </c>
      <c r="J42" s="126"/>
      <c r="N42" s="664"/>
      <c r="O42" s="664"/>
    </row>
    <row r="43" spans="1:15" ht="19.5" customHeight="1">
      <c r="A43" s="120">
        <f ca="1">IF(ROWS($1:30)&gt;COUNT(Dong1),"",OFFSET(TH!C$1,SMALL(Dong1,ROWS($1:30)),))</f>
        <v>41034</v>
      </c>
      <c r="B43" s="120">
        <f ca="1">IF(ROWS($1:30)&gt;COUNT(Dong1),"",OFFSET(TH!E$1,SMALL(Dong1,ROWS($1:30)),))</f>
        <v>41034</v>
      </c>
      <c r="C43" s="121" t="str">
        <f ca="1">IF(ROWS($1:30)&gt;COUNT(Dong1),"",IF(OFFSET(TH!L$1,SMALL(Dong1,ROWS($1:30)),)="1111",OFFSET(TH!D$1,SMALL(Dong1,ROWS($1:30)),),""))</f>
        <v>T14</v>
      </c>
      <c r="D43" s="122" t="str">
        <f ca="1">IF(ROWS($1:30)&gt;COUNT(Dong1),"",IF(OFFSET(TH!M$1,SMALL(Dong1,ROWS($1:30)),)="1111",OFFSET(TH!D$1,SMALL(Dong1,ROWS($1:30)),),""))</f>
        <v/>
      </c>
      <c r="E43" s="224" t="str">
        <f ca="1">IF(ROWS($1:30)&gt;COUNT(Dong1),"",OFFSET(TH!F$1,SMALL(Dong1,ROWS($1:30)),))</f>
        <v>Chi Sec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36000000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1986908692</v>
      </c>
      <c r="J43" s="126"/>
      <c r="N43" s="664"/>
      <c r="O43" s="664"/>
    </row>
    <row r="44" spans="1:15" ht="19.5" customHeight="1">
      <c r="A44" s="120">
        <f ca="1">IF(ROWS($1:31)&gt;COUNT(Dong1),"",OFFSET(TH!C$1,SMALL(Dong1,ROWS($1:31)),))</f>
        <v>41036</v>
      </c>
      <c r="B44" s="120">
        <f ca="1">IF(ROWS($1:31)&gt;COUNT(Dong1),"",OFFSET(TH!E$1,SMALL(Dong1,ROWS($1:31)),))</f>
        <v>41036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4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10464171</v>
      </c>
      <c r="I44" s="121">
        <f t="shared" ca="1" si="0"/>
        <v>1976444521</v>
      </c>
      <c r="J44" s="126"/>
      <c r="N44" s="664"/>
      <c r="O44" s="664"/>
    </row>
    <row r="45" spans="1:15" ht="19.5" customHeight="1">
      <c r="A45" s="120">
        <f ca="1">IF(ROWS($1:32)&gt;COUNT(Dong1),"",OFFSET(TH!C$1,SMALL(Dong1,ROWS($1:32)),))</f>
        <v>41036</v>
      </c>
      <c r="B45" s="120">
        <f ca="1">IF(ROWS($1:32)&gt;COUNT(Dong1),"",OFFSET(TH!E$1,SMALL(Dong1,ROWS($1:32)),))</f>
        <v>41036</v>
      </c>
      <c r="C45" s="121" t="str">
        <f ca="1">IF(ROWS($1:32)&gt;COUNT(Dong1),"",IF(OFFSET(TH!L$1,SMALL(Dong1,ROWS($1:32)),)="1111",OFFSET(TH!D$1,SMALL(Dong1,ROWS($1:32)),),""))</f>
        <v>T15</v>
      </c>
      <c r="D45" s="122" t="str">
        <f ca="1">IF(ROWS($1:32)&gt;COUNT(Dong1),"",IF(OFFSET(TH!M$1,SMALL(Dong1,ROWS($1:32)),)="1111",OFFSET(TH!D$1,SMALL(Dong1,ROWS($1:32)),),""))</f>
        <v/>
      </c>
      <c r="E45" s="224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4623410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1981067931</v>
      </c>
      <c r="J45" s="126"/>
      <c r="N45" s="664"/>
      <c r="O45" s="664"/>
    </row>
    <row r="46" spans="1:15" ht="19.5" customHeight="1">
      <c r="A46" s="120">
        <f ca="1">IF(ROWS($1:33)&gt;COUNT(Dong1),"",OFFSET(TH!C$1,SMALL(Dong1,ROWS($1:33)),))</f>
        <v>41037</v>
      </c>
      <c r="B46" s="120">
        <f ca="1">IF(ROWS($1:33)&gt;COUNT(Dong1),"",OFFSET(TH!E$1,SMALL(Dong1,ROWS($1:33)),))</f>
        <v>41037</v>
      </c>
      <c r="C46" s="121" t="str">
        <f ca="1">IF(ROWS($1:33)&gt;COUNT(Dong1),"",IF(OFFSET(TH!L$1,SMALL(Dong1,ROWS($1:33)),)="1111",OFFSET(TH!D$1,SMALL(Dong1,ROWS($1:33)),),""))</f>
        <v>T16</v>
      </c>
      <c r="D46" s="122" t="str">
        <f ca="1">IF(ROWS($1:33)&gt;COUNT(Dong1),"",IF(OFFSET(TH!M$1,SMALL(Dong1,ROWS($1:33)),)="1111",OFFSET(TH!D$1,SMALL(Dong1,ROWS($1:33)),),""))</f>
        <v/>
      </c>
      <c r="E46" s="224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5378175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1986446106</v>
      </c>
      <c r="J46" s="126"/>
      <c r="N46" s="664"/>
      <c r="O46" s="664"/>
    </row>
    <row r="47" spans="1:15" ht="19.5" customHeight="1">
      <c r="A47" s="120">
        <f ca="1">IF(ROWS($1:34)&gt;COUNT(Dong1),"",OFFSET(TH!C$1,SMALL(Dong1,ROWS($1:34)),))</f>
        <v>41039</v>
      </c>
      <c r="B47" s="120">
        <f ca="1">IF(ROWS($1:34)&gt;COUNT(Dong1),"",OFFSET(TH!E$1,SMALL(Dong1,ROWS($1:34)),))</f>
        <v>41039</v>
      </c>
      <c r="C47" s="121" t="str">
        <f ca="1">IF(ROWS($1:34)&gt;COUNT(Dong1),"",IF(OFFSET(TH!L$1,SMALL(Dong1,ROWS($1:34)),)="1111",OFFSET(TH!D$1,SMALL(Dong1,ROWS($1:34)),),""))</f>
        <v>T17</v>
      </c>
      <c r="D47" s="122" t="str">
        <f ca="1">IF(ROWS($1:34)&gt;COUNT(Dong1),"",IF(OFFSET(TH!M$1,SMALL(Dong1,ROWS($1:34)),)="1111",OFFSET(TH!D$1,SMALL(Dong1,ROWS($1:34)),),""))</f>
        <v/>
      </c>
      <c r="E47" s="224" t="str">
        <f ca="1">IF(ROWS($1:34)&gt;COUNT(Dong1),"",OFFSET(TH!F$1,SMALL(Dong1,ROWS($1:34)),))</f>
        <v>Thu tiền hàng</v>
      </c>
      <c r="F47" s="124" t="str">
        <f ca="1">IF(ROWS($1:34)&gt;COUNT(Dong1),"",IF(OFFSET(TH!M$1,SMALL(Dong1,ROWS($1:34)),)="1111",OFFSET(TH!L$1,SMALL(Dong1,ROWS($1:34)),),OFFSET(TH!M$1,SMALL(Dong1,ROWS($1:34)),)))</f>
        <v>131</v>
      </c>
      <c r="G47" s="125">
        <f ca="1">IF(ROWS($1:34)&gt;COUNT(Dong1),"",IF(OFFSET(TH!L$1,SMALL(Dong1,ROWS($1:34)),)="1111",OFFSET(TH!K$1,SMALL(Dong1,ROWS($1:34)),),0))</f>
        <v>2154900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1988601006</v>
      </c>
      <c r="J47" s="126"/>
      <c r="N47" s="664"/>
      <c r="O47" s="664"/>
    </row>
    <row r="48" spans="1:15" ht="19.5" customHeight="1">
      <c r="A48" s="120">
        <f ca="1">IF(ROWS($1:35)&gt;COUNT(Dong1),"",OFFSET(TH!C$1,SMALL(Dong1,ROWS($1:35)),))</f>
        <v>41040</v>
      </c>
      <c r="B48" s="120">
        <f ca="1">IF(ROWS($1:35)&gt;COUNT(Dong1),"",OFFSET(TH!E$1,SMALL(Dong1,ROWS($1:35)),))</f>
        <v>41040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4" t="str">
        <f ca="1">IF(ROWS($1:35)&gt;COUNT(Dong1),"",OFFSET(TH!F$1,SMALL(Dong1,ROWS($1:35)),))</f>
        <v>Mực in V-FLEX 8470 Blue, 8471 Green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2580000</v>
      </c>
      <c r="I48" s="121">
        <f t="shared" ca="1" si="0"/>
        <v>1986021006</v>
      </c>
      <c r="J48" s="126"/>
      <c r="N48" s="664"/>
      <c r="O48" s="664"/>
    </row>
    <row r="49" spans="1:15" ht="19.5" customHeight="1">
      <c r="A49" s="120">
        <f ca="1">IF(ROWS($1:36)&gt;COUNT(Dong1),"",OFFSET(TH!C$1,SMALL(Dong1,ROWS($1:36)),))</f>
        <v>41040</v>
      </c>
      <c r="B49" s="120">
        <f ca="1">IF(ROWS($1:36)&gt;COUNT(Dong1),"",OFFSET(TH!E$1,SMALL(Dong1,ROWS($1:36)),))</f>
        <v>41040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C12</v>
      </c>
      <c r="E49" s="224" t="str">
        <f ca="1">IF(ROWS($1:36)&gt;COUNT(Dong1),"",OFFSET(TH!F$1,SMALL(Dong1,ROWS($1:36)),))</f>
        <v>VAT Mực in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258000</v>
      </c>
      <c r="I49" s="121">
        <f t="shared" ca="1" si="0"/>
        <v>1985763006</v>
      </c>
      <c r="J49" s="126"/>
      <c r="N49" s="664"/>
      <c r="O49" s="664"/>
    </row>
    <row r="50" spans="1:15" ht="19.5" customHeight="1">
      <c r="A50" s="120">
        <f ca="1">IF(ROWS($1:37)&gt;COUNT(Dong1),"",OFFSET(TH!C$1,SMALL(Dong1,ROWS($1:37)),))</f>
        <v>41040</v>
      </c>
      <c r="B50" s="120">
        <f ca="1">IF(ROWS($1:37)&gt;COUNT(Dong1),"",OFFSET(TH!E$1,SMALL(Dong1,ROWS($1:37)),))</f>
        <v>41040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4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16659610</v>
      </c>
      <c r="I50" s="121">
        <f t="shared" ca="1" si="0"/>
        <v>1969103396</v>
      </c>
      <c r="J50" s="126"/>
    </row>
    <row r="51" spans="1:15" ht="19.5" customHeight="1">
      <c r="A51" s="120">
        <f ca="1">IF(ROWS($1:38)&gt;COUNT(Dong1),"",OFFSET(TH!C$1,SMALL(Dong1,ROWS($1:38)),))</f>
        <v>41040</v>
      </c>
      <c r="B51" s="120">
        <f ca="1">IF(ROWS($1:38)&gt;COUNT(Dong1),"",OFFSET(TH!E$1,SMALL(Dong1,ROWS($1:38)),))</f>
        <v>41040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4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14213210</v>
      </c>
      <c r="I51" s="121">
        <f t="shared" ca="1" si="0"/>
        <v>1954890186</v>
      </c>
      <c r="J51" s="126"/>
    </row>
    <row r="52" spans="1:15" ht="19.5" customHeight="1">
      <c r="A52" s="120">
        <f ca="1">IF(ROWS($1:39)&gt;COUNT(Dong1),"",OFFSET(TH!C$1,SMALL(Dong1,ROWS($1:39)),))</f>
        <v>41041</v>
      </c>
      <c r="B52" s="120">
        <f ca="1">IF(ROWS($1:39)&gt;COUNT(Dong1),"",OFFSET(TH!E$1,SMALL(Dong1,ROWS($1:39)),))</f>
        <v>41041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C15</v>
      </c>
      <c r="E52" s="224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11000000</v>
      </c>
      <c r="I52" s="121">
        <f t="shared" ca="1" si="0"/>
        <v>1943890186</v>
      </c>
      <c r="J52" s="126"/>
    </row>
    <row r="53" spans="1:15" ht="19.5" customHeight="1">
      <c r="A53" s="120">
        <f ca="1">IF(ROWS($1:40)&gt;COUNT(Dong1),"",OFFSET(TH!C$1,SMALL(Dong1,ROWS($1:40)),))</f>
        <v>41041</v>
      </c>
      <c r="B53" s="120">
        <f ca="1">IF(ROWS($1:40)&gt;COUNT(Dong1),"",OFFSET(TH!E$1,SMALL(Dong1,ROWS($1:40)),))</f>
        <v>41041</v>
      </c>
      <c r="C53" s="121" t="str">
        <f ca="1">IF(ROWS($1:40)&gt;COUNT(Dong1),"",IF(OFFSET(TH!L$1,SMALL(Dong1,ROWS($1:40)),)="1111",OFFSET(TH!D$1,SMALL(Dong1,ROWS($1:40)),),""))</f>
        <v>T18</v>
      </c>
      <c r="D53" s="122" t="str">
        <f ca="1">IF(ROWS($1:40)&gt;COUNT(Dong1),"",IF(OFFSET(TH!M$1,SMALL(Dong1,ROWS($1:40)),)="1111",OFFSET(TH!D$1,SMALL(Dong1,ROWS($1:40)),),""))</f>
        <v/>
      </c>
      <c r="E53" s="224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7667000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1951557186</v>
      </c>
      <c r="J53" s="126"/>
    </row>
    <row r="54" spans="1:15" ht="19.5" customHeight="1">
      <c r="A54" s="120">
        <f ca="1">IF(ROWS($1:41)&gt;COUNT(Dong1),"",OFFSET(TH!C$1,SMALL(Dong1,ROWS($1:41)),))</f>
        <v>41043</v>
      </c>
      <c r="B54" s="120">
        <f ca="1">IF(ROWS($1:41)&gt;COUNT(Dong1),"",OFFSET(TH!E$1,SMALL(Dong1,ROWS($1:41)),))</f>
        <v>41043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C16</v>
      </c>
      <c r="E54" s="224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17800000</v>
      </c>
      <c r="I54" s="121">
        <f t="shared" ca="1" si="0"/>
        <v>1933757186</v>
      </c>
      <c r="J54" s="126"/>
    </row>
    <row r="55" spans="1:15" ht="19.5" customHeight="1">
      <c r="A55" s="120">
        <f ca="1">IF(ROWS($1:42)&gt;COUNT(Dong1),"",OFFSET(TH!C$1,SMALL(Dong1,ROWS($1:42)),))</f>
        <v>41044</v>
      </c>
      <c r="B55" s="120">
        <f ca="1">IF(ROWS($1:42)&gt;COUNT(Dong1),"",OFFSET(TH!E$1,SMALL(Dong1,ROWS($1:42)),))</f>
        <v>41044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C17</v>
      </c>
      <c r="E55" s="224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15087530</v>
      </c>
      <c r="I55" s="121">
        <f t="shared" ca="1" si="0"/>
        <v>1918669656</v>
      </c>
      <c r="J55" s="126"/>
    </row>
    <row r="56" spans="1:15" ht="19.5" customHeight="1">
      <c r="A56" s="120">
        <f ca="1">IF(ROWS($1:43)&gt;COUNT(Dong1),"",OFFSET(TH!C$1,SMALL(Dong1,ROWS($1:43)),))</f>
        <v>41044</v>
      </c>
      <c r="B56" s="120">
        <f ca="1">IF(ROWS($1:43)&gt;COUNT(Dong1),"",OFFSET(TH!E$1,SMALL(Dong1,ROWS($1:43)),))</f>
        <v>41044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C18</v>
      </c>
      <c r="E56" s="224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13815531</v>
      </c>
      <c r="I56" s="121">
        <f t="shared" ca="1" si="0"/>
        <v>1904854125</v>
      </c>
      <c r="J56" s="126"/>
    </row>
    <row r="57" spans="1:15" ht="19.5" customHeight="1">
      <c r="A57" s="120">
        <f ca="1">IF(ROWS($1:44)&gt;COUNT(Dong1),"",OFFSET(TH!C$1,SMALL(Dong1,ROWS($1:44)),))</f>
        <v>41045</v>
      </c>
      <c r="B57" s="120">
        <f ca="1">IF(ROWS($1:44)&gt;COUNT(Dong1),"",OFFSET(TH!E$1,SMALL(Dong1,ROWS($1:44)),))</f>
        <v>41045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C19</v>
      </c>
      <c r="E57" s="224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13604250</v>
      </c>
      <c r="I57" s="121">
        <f t="shared" ca="1" si="0"/>
        <v>1891249875</v>
      </c>
      <c r="J57" s="126"/>
    </row>
    <row r="58" spans="1:15" ht="19.5" customHeight="1">
      <c r="A58" s="120">
        <f ca="1">IF(ROWS($1:45)&gt;COUNT(Dong1),"",OFFSET(TH!C$1,SMALL(Dong1,ROWS($1:45)),))</f>
        <v>41045</v>
      </c>
      <c r="B58" s="120">
        <f ca="1">IF(ROWS($1:45)&gt;COUNT(Dong1),"",OFFSET(TH!E$1,SMALL(Dong1,ROWS($1:45)),))</f>
        <v>41045</v>
      </c>
      <c r="C58" s="121" t="str">
        <f ca="1">IF(ROWS($1:45)&gt;COUNT(Dong1),"",IF(OFFSET(TH!L$1,SMALL(Dong1,ROWS($1:45)),)="1111",OFFSET(TH!D$1,SMALL(Dong1,ROWS($1:45)),),""))</f>
        <v>T19</v>
      </c>
      <c r="D58" s="122" t="str">
        <f ca="1">IF(ROWS($1:45)&gt;COUNT(Dong1),"",IF(OFFSET(TH!M$1,SMALL(Dong1,ROWS($1:45)),)="1111",OFFSET(TH!D$1,SMALL(Dong1,ROWS($1:45)),),""))</f>
        <v/>
      </c>
      <c r="E58" s="224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10209155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1901459030</v>
      </c>
      <c r="J58" s="126"/>
    </row>
    <row r="59" spans="1:15" ht="19.5" customHeight="1">
      <c r="A59" s="120">
        <f ca="1">IF(ROWS($1:46)&gt;COUNT(Dong1),"",OFFSET(TH!C$1,SMALL(Dong1,ROWS($1:46)),))</f>
        <v>41047</v>
      </c>
      <c r="B59" s="120">
        <f ca="1">IF(ROWS($1:46)&gt;COUNT(Dong1),"",OFFSET(TH!E$1,SMALL(Dong1,ROWS($1:46)),))</f>
        <v>41047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C20</v>
      </c>
      <c r="E59" s="224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11576466</v>
      </c>
      <c r="I59" s="121">
        <f t="shared" ca="1" si="0"/>
        <v>1889882564</v>
      </c>
      <c r="J59" s="126"/>
    </row>
    <row r="60" spans="1:15" ht="19.5" customHeight="1">
      <c r="A60" s="120">
        <f ca="1">IF(ROWS($1:47)&gt;COUNT(Dong1),"",OFFSET(TH!C$1,SMALL(Dong1,ROWS($1:47)),))</f>
        <v>41047</v>
      </c>
      <c r="B60" s="120">
        <f ca="1">IF(ROWS($1:47)&gt;COUNT(Dong1),"",OFFSET(TH!E$1,SMALL(Dong1,ROWS($1:47)),))</f>
        <v>41047</v>
      </c>
      <c r="C60" s="121" t="str">
        <f ca="1">IF(ROWS($1:47)&gt;COUNT(Dong1),"",IF(OFFSET(TH!L$1,SMALL(Dong1,ROWS($1:47)),)="1111",OFFSET(TH!D$1,SMALL(Dong1,ROWS($1:47)),),""))</f>
        <v>T20</v>
      </c>
      <c r="D60" s="122" t="str">
        <f ca="1">IF(ROWS($1:47)&gt;COUNT(Dong1),"",IF(OFFSET(TH!M$1,SMALL(Dong1,ROWS($1:47)),)="1111",OFFSET(TH!D$1,SMALL(Dong1,ROWS($1:47)),),""))</f>
        <v/>
      </c>
      <c r="E60" s="224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16757730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1906640294</v>
      </c>
      <c r="J60" s="126"/>
    </row>
    <row r="61" spans="1:15" ht="19.5" customHeight="1">
      <c r="A61" s="120">
        <f ca="1">IF(ROWS($1:48)&gt;COUNT(Dong1),"",OFFSET(TH!C$1,SMALL(Dong1,ROWS($1:48)),))</f>
        <v>41048</v>
      </c>
      <c r="B61" s="120">
        <f ca="1">IF(ROWS($1:48)&gt;COUNT(Dong1),"",OFFSET(TH!E$1,SMALL(Dong1,ROWS($1:48)),))</f>
        <v>41048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C21</v>
      </c>
      <c r="E61" s="224" t="str">
        <f ca="1">IF(ROWS($1:48)&gt;COUNT(Dong1),"",OFFSET(TH!F$1,SMALL(Dong1,ROWS($1:48)),))</f>
        <v>Mực in V-FLEX 8486 Blue, 6417 Green, 8470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6200000</v>
      </c>
      <c r="I61" s="121">
        <f t="shared" ca="1" si="0"/>
        <v>1900440294</v>
      </c>
      <c r="J61" s="126"/>
    </row>
    <row r="62" spans="1:15" ht="19.5" customHeight="1">
      <c r="A62" s="120">
        <f ca="1">IF(ROWS($1:49)&gt;COUNT(Dong1),"",OFFSET(TH!C$1,SMALL(Dong1,ROWS($1:49)),))</f>
        <v>41048</v>
      </c>
      <c r="B62" s="120">
        <f ca="1">IF(ROWS($1:49)&gt;COUNT(Dong1),"",OFFSET(TH!E$1,SMALL(Dong1,ROWS($1:49)),))</f>
        <v>41048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C21</v>
      </c>
      <c r="E62" s="224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620000</v>
      </c>
      <c r="I62" s="121">
        <f t="shared" ca="1" si="0"/>
        <v>1899820294</v>
      </c>
      <c r="J62" s="126"/>
    </row>
    <row r="63" spans="1:15" ht="19.5" customHeight="1">
      <c r="A63" s="120">
        <f ca="1">IF(ROWS($1:50)&gt;COUNT(Dong1),"",OFFSET(TH!C$1,SMALL(Dong1,ROWS($1:50)),))</f>
        <v>41051</v>
      </c>
      <c r="B63" s="120">
        <f ca="1">IF(ROWS($1:50)&gt;COUNT(Dong1),"",OFFSET(TH!E$1,SMALL(Dong1,ROWS($1:50)),))</f>
        <v>41051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C22</v>
      </c>
      <c r="E63" s="224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9338027</v>
      </c>
      <c r="I63" s="121">
        <f t="shared" ca="1" si="0"/>
        <v>1890482267</v>
      </c>
      <c r="J63" s="126"/>
    </row>
    <row r="64" spans="1:15" ht="19.5" customHeight="1">
      <c r="A64" s="120">
        <f ca="1">IF(ROWS($1:51)&gt;COUNT(Dong1),"",OFFSET(TH!C$1,SMALL(Dong1,ROWS($1:51)),))</f>
        <v>41051</v>
      </c>
      <c r="B64" s="120">
        <f ca="1">IF(ROWS($1:51)&gt;COUNT(Dong1),"",OFFSET(TH!E$1,SMALL(Dong1,ROWS($1:51)),))</f>
        <v>41051</v>
      </c>
      <c r="C64" s="121" t="str">
        <f ca="1">IF(ROWS($1:51)&gt;COUNT(Dong1),"",IF(OFFSET(TH!L$1,SMALL(Dong1,ROWS($1:51)),)="1111",OFFSET(TH!D$1,SMALL(Dong1,ROWS($1:51)),),""))</f>
        <v>T21</v>
      </c>
      <c r="D64" s="122" t="str">
        <f ca="1">IF(ROWS($1:51)&gt;COUNT(Dong1),"",IF(OFFSET(TH!M$1,SMALL(Dong1,ROWS($1:51)),)="1111",OFFSET(TH!D$1,SMALL(Dong1,ROWS($1:51)),),""))</f>
        <v/>
      </c>
      <c r="E64" s="224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19885140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1910367407</v>
      </c>
      <c r="J64" s="126"/>
    </row>
    <row r="65" spans="1:10" ht="19.5" customHeight="1">
      <c r="A65" s="120">
        <f ca="1">IF(ROWS($1:52)&gt;COUNT(Dong1),"",OFFSET(TH!C$1,SMALL(Dong1,ROWS($1:52)),))</f>
        <v>41051</v>
      </c>
      <c r="B65" s="120">
        <f ca="1">IF(ROWS($1:52)&gt;COUNT(Dong1),"",OFFSET(TH!E$1,SMALL(Dong1,ROWS($1:52)),))</f>
        <v>41051</v>
      </c>
      <c r="C65" s="121" t="str">
        <f ca="1">IF(ROWS($1:52)&gt;COUNT(Dong1),"",IF(OFFSET(TH!L$1,SMALL(Dong1,ROWS($1:52)),)="1111",OFFSET(TH!D$1,SMALL(Dong1,ROWS($1:52)),),""))</f>
        <v>T22</v>
      </c>
      <c r="D65" s="122" t="str">
        <f ca="1">IF(ROWS($1:52)&gt;COUNT(Dong1),"",IF(OFFSET(TH!M$1,SMALL(Dong1,ROWS($1:52)),)="1111",OFFSET(TH!D$1,SMALL(Dong1,ROWS($1:52)),),""))</f>
        <v/>
      </c>
      <c r="E65" s="224" t="str">
        <f ca="1">IF(ROWS($1:52)&gt;COUNT(Dong1),"",OFFSET(TH!F$1,SMALL(Dong1,ROWS($1:52)),))</f>
        <v>Ứng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1989344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1912356751</v>
      </c>
      <c r="J65" s="126"/>
    </row>
    <row r="66" spans="1:10" ht="19.5" customHeight="1">
      <c r="A66" s="120">
        <f ca="1">IF(ROWS($1:53)&gt;COUNT(Dong1),"",OFFSET(TH!C$1,SMALL(Dong1,ROWS($1:53)),))</f>
        <v>41052</v>
      </c>
      <c r="B66" s="120">
        <f ca="1">IF(ROWS($1:53)&gt;COUNT(Dong1),"",OFFSET(TH!E$1,SMALL(Dong1,ROWS($1:53)),))</f>
        <v>41052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C23</v>
      </c>
      <c r="E66" s="224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2750000</v>
      </c>
      <c r="I66" s="121">
        <f t="shared" ca="1" si="0"/>
        <v>1909606751</v>
      </c>
      <c r="J66" s="126"/>
    </row>
    <row r="67" spans="1:10" ht="19.5" customHeight="1">
      <c r="A67" s="120">
        <f ca="1">IF(ROWS($1:54)&gt;COUNT(Dong1),"",OFFSET(TH!C$1,SMALL(Dong1,ROWS($1:54)),))</f>
        <v>41052</v>
      </c>
      <c r="B67" s="120">
        <f ca="1">IF(ROWS($1:54)&gt;COUNT(Dong1),"",OFFSET(TH!E$1,SMALL(Dong1,ROWS($1:54)),))</f>
        <v>41052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C24</v>
      </c>
      <c r="E67" s="224" t="str">
        <f ca="1">IF(ROWS($1:54)&gt;COUNT(Dong1),"",OFFSET(TH!F$1,SMALL(Dong1,ROWS($1:54)),))</f>
        <v>Mực in V-FLEX 6412 Red</v>
      </c>
      <c r="F67" s="124" t="str">
        <f ca="1">IF(ROWS($1:54)&gt;COUNT(Dong1),"",IF(OFFSET(TH!M$1,SMALL(Dong1,ROWS($1:54)),)="1111",OFFSET(TH!L$1,SMALL(Dong1,ROWS($1:54)),),OFFSET(TH!M$1,SMALL(Dong1,ROWS($1:54)),)))</f>
        <v>154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2600000</v>
      </c>
      <c r="I67" s="121">
        <f t="shared" ca="1" si="0"/>
        <v>1907006751</v>
      </c>
      <c r="J67" s="126"/>
    </row>
    <row r="68" spans="1:10" ht="19.5" customHeight="1">
      <c r="A68" s="120">
        <f ca="1">IF(ROWS($1:55)&gt;COUNT(Dong1),"",OFFSET(TH!C$1,SMALL(Dong1,ROWS($1:55)),))</f>
        <v>41052</v>
      </c>
      <c r="B68" s="120">
        <f ca="1">IF(ROWS($1:55)&gt;COUNT(Dong1),"",OFFSET(TH!E$1,SMALL(Dong1,ROWS($1:55)),))</f>
        <v>41052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C24</v>
      </c>
      <c r="E68" s="224" t="str">
        <f ca="1">IF(ROWS($1:55)&gt;COUNT(Dong1),"",OFFSET(TH!F$1,SMALL(Dong1,ROWS($1:55)),))</f>
        <v>VAT Mực in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260000</v>
      </c>
      <c r="I68" s="121">
        <f t="shared" ca="1" si="0"/>
        <v>1906746751</v>
      </c>
      <c r="J68" s="126"/>
    </row>
    <row r="69" spans="1:10" ht="19.5" customHeight="1">
      <c r="A69" s="120">
        <f ca="1">IF(ROWS($1:56)&gt;COUNT(Dong1),"",OFFSET(TH!C$1,SMALL(Dong1,ROWS($1:56)),))</f>
        <v>41052</v>
      </c>
      <c r="B69" s="120">
        <f ca="1">IF(ROWS($1:56)&gt;COUNT(Dong1),"",OFFSET(TH!E$1,SMALL(Dong1,ROWS($1:56)),))</f>
        <v>41052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C25</v>
      </c>
      <c r="E69" s="224" t="str">
        <f ca="1">IF(ROWS($1:56)&gt;COUNT(Dong1),"",OFFSET(TH!F$1,SMALL(Dong1,ROWS($1:56)),))</f>
        <v>Thanh toán tiền hàng</v>
      </c>
      <c r="F69" s="124" t="str">
        <f ca="1">IF(ROWS($1:56)&gt;COUNT(Dong1),"",IF(OFFSET(TH!M$1,SMALL(Dong1,ROWS($1:56)),)="1111",OFFSET(TH!L$1,SMALL(Dong1,ROWS($1:56)),),OFFSET(TH!M$1,SMALL(Dong1,ROWS($1:56)),)))</f>
        <v>331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12272975</v>
      </c>
      <c r="I69" s="121">
        <f t="shared" ca="1" si="0"/>
        <v>1894473776</v>
      </c>
      <c r="J69" s="126"/>
    </row>
    <row r="70" spans="1:10" ht="19.5" customHeight="1">
      <c r="A70" s="120">
        <f ca="1">IF(ROWS($1:57)&gt;COUNT(Dong1),"",OFFSET(TH!C$1,SMALL(Dong1,ROWS($1:57)),))</f>
        <v>41053</v>
      </c>
      <c r="B70" s="120">
        <f ca="1">IF(ROWS($1:57)&gt;COUNT(Dong1),"",OFFSET(TH!E$1,SMALL(Dong1,ROWS($1:57)),))</f>
        <v>41053</v>
      </c>
      <c r="C70" s="121" t="str">
        <f ca="1">IF(ROWS($1:57)&gt;COUNT(Dong1),"",IF(OFFSET(TH!L$1,SMALL(Dong1,ROWS($1:57)),)="1111",OFFSET(TH!D$1,SMALL(Dong1,ROWS($1:57)),),""))</f>
        <v>T23</v>
      </c>
      <c r="D70" s="122" t="str">
        <f ca="1">IF(ROWS($1:57)&gt;COUNT(Dong1),"",IF(OFFSET(TH!M$1,SMALL(Dong1,ROWS($1:57)),)="1111",OFFSET(TH!D$1,SMALL(Dong1,ROWS($1:57)),),""))</f>
        <v/>
      </c>
      <c r="E70" s="224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4453240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0"/>
        <v>1898927016</v>
      </c>
      <c r="J70" s="126"/>
    </row>
    <row r="71" spans="1:10" ht="19.5" customHeight="1">
      <c r="A71" s="120">
        <f ca="1">IF(ROWS($1:58)&gt;COUNT(Dong1),"",OFFSET(TH!C$1,SMALL(Dong1,ROWS($1:58)),))</f>
        <v>41053</v>
      </c>
      <c r="B71" s="120">
        <f ca="1">IF(ROWS($1:58)&gt;COUNT(Dong1),"",OFFSET(TH!E$1,SMALL(Dong1,ROWS($1:58)),))</f>
        <v>41053</v>
      </c>
      <c r="C71" s="121" t="str">
        <f ca="1">IF(ROWS($1:58)&gt;COUNT(Dong1),"",IF(OFFSET(TH!L$1,SMALL(Dong1,ROWS($1:58)),)="1111",OFFSET(TH!D$1,SMALL(Dong1,ROWS($1:58)),),""))</f>
        <v>T24</v>
      </c>
      <c r="D71" s="122" t="str">
        <f ca="1">IF(ROWS($1:58)&gt;COUNT(Dong1),"",IF(OFFSET(TH!M$1,SMALL(Dong1,ROWS($1:58)),)="1111",OFFSET(TH!D$1,SMALL(Dong1,ROWS($1:58)),),""))</f>
        <v/>
      </c>
      <c r="E71" s="224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9503340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1908430356</v>
      </c>
      <c r="J71" s="126"/>
    </row>
    <row r="72" spans="1:10" ht="19.5" customHeight="1">
      <c r="A72" s="120">
        <f ca="1">IF(ROWS($1:59)&gt;COUNT(Dong1),"",OFFSET(TH!C$1,SMALL(Dong1,ROWS($1:59)),))</f>
        <v>41053</v>
      </c>
      <c r="B72" s="120">
        <f ca="1">IF(ROWS($1:59)&gt;COUNT(Dong1),"",OFFSET(TH!E$1,SMALL(Dong1,ROWS($1:59)),))</f>
        <v>41053</v>
      </c>
      <c r="C72" s="121" t="str">
        <f ca="1">IF(ROWS($1:59)&gt;COUNT(Dong1),"",IF(OFFSET(TH!L$1,SMALL(Dong1,ROWS($1:59)),)="1111",OFFSET(TH!D$1,SMALL(Dong1,ROWS($1:59)),),""))</f>
        <v>T25</v>
      </c>
      <c r="D72" s="122" t="str">
        <f ca="1">IF(ROWS($1:59)&gt;COUNT(Dong1),"",IF(OFFSET(TH!M$1,SMALL(Dong1,ROWS($1:59)),)="1111",OFFSET(TH!D$1,SMALL(Dong1,ROWS($1:59)),),""))</f>
        <v/>
      </c>
      <c r="E72" s="224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19980840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0"/>
        <v>1928411196</v>
      </c>
      <c r="J72" s="126"/>
    </row>
    <row r="73" spans="1:10" ht="19.5" customHeight="1">
      <c r="A73" s="120">
        <f ca="1">IF(ROWS($1:60)&gt;COUNT(Dong1),"",OFFSET(TH!C$1,SMALL(Dong1,ROWS($1:60)),))</f>
        <v>41054</v>
      </c>
      <c r="B73" s="120">
        <f ca="1">IF(ROWS($1:60)&gt;COUNT(Dong1),"",OFFSET(TH!E$1,SMALL(Dong1,ROWS($1:60)),))</f>
        <v>41054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C26</v>
      </c>
      <c r="E73" s="224" t="str">
        <f ca="1">IF(ROWS($1:60)&gt;COUNT(Dong1),"",OFFSET(TH!F$1,SMALL(Dong1,ROWS($1:60)),))</f>
        <v>Thanh toán tiền hàng</v>
      </c>
      <c r="F73" s="124" t="str">
        <f ca="1">IF(ROWS($1:60)&gt;COUNT(Dong1),"",IF(OFFSET(TH!M$1,SMALL(Dong1,ROWS($1:60)),)="1111",OFFSET(TH!L$1,SMALL(Dong1,ROWS($1:60)),),OFFSET(TH!M$1,SMALL(Dong1,ROWS($1:60)),)))</f>
        <v>331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3326400</v>
      </c>
      <c r="I73" s="121">
        <f t="shared" ca="1" si="0"/>
        <v>1925084796</v>
      </c>
      <c r="J73" s="126"/>
    </row>
    <row r="74" spans="1:10" ht="19.5" customHeight="1">
      <c r="A74" s="120">
        <f ca="1">IF(ROWS($1:61)&gt;COUNT(Dong1),"",OFFSET(TH!C$1,SMALL(Dong1,ROWS($1:61)),))</f>
        <v>41054</v>
      </c>
      <c r="B74" s="120">
        <f ca="1">IF(ROWS($1:61)&gt;COUNT(Dong1),"",OFFSET(TH!E$1,SMALL(Dong1,ROWS($1:61)),))</f>
        <v>41054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4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18154950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0"/>
        <v>1943239746</v>
      </c>
      <c r="J74" s="126"/>
    </row>
    <row r="75" spans="1:10" ht="19.5" customHeight="1">
      <c r="A75" s="120">
        <f ca="1">IF(ROWS($1:62)&gt;COUNT(Dong1),"",OFFSET(TH!C$1,SMALL(Dong1,ROWS($1:62)),))</f>
        <v>41055</v>
      </c>
      <c r="B75" s="120">
        <f ca="1">IF(ROWS($1:62)&gt;COUNT(Dong1),"",OFFSET(TH!E$1,SMALL(Dong1,ROWS($1:62)),))</f>
        <v>41055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C27</v>
      </c>
      <c r="E75" s="224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14733620</v>
      </c>
      <c r="I75" s="121">
        <f t="shared" ca="1" si="0"/>
        <v>1928506126</v>
      </c>
      <c r="J75" s="126"/>
    </row>
    <row r="76" spans="1:10" ht="19.5" customHeight="1">
      <c r="A76" s="120">
        <f ca="1">IF(ROWS($1:63)&gt;COUNT(Dong1),"",OFFSET(TH!C$1,SMALL(Dong1,ROWS($1:63)),))</f>
        <v>41055</v>
      </c>
      <c r="B76" s="120">
        <f ca="1">IF(ROWS($1:63)&gt;COUNT(Dong1),"",OFFSET(TH!E$1,SMALL(Dong1,ROWS($1:63)),))</f>
        <v>41055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4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11432300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0"/>
        <v>1939938426</v>
      </c>
      <c r="J76" s="126"/>
    </row>
    <row r="77" spans="1:10" ht="19.5" customHeight="1">
      <c r="A77" s="120">
        <f ca="1">IF(ROWS($1:64)&gt;COUNT(Dong1),"",OFFSET(TH!C$1,SMALL(Dong1,ROWS($1:64)),))</f>
        <v>41056</v>
      </c>
      <c r="B77" s="120">
        <f ca="1">IF(ROWS($1:64)&gt;COUNT(Dong1),"",OFFSET(TH!E$1,SMALL(Dong1,ROWS($1:64)),))</f>
        <v>41056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C28</v>
      </c>
      <c r="E77" s="224" t="str">
        <f ca="1">IF(ROWS($1:64)&gt;COUNT(Dong1),"",OFFSET(TH!F$1,SMALL(Dong1,ROWS($1:64)),))</f>
        <v>Thanh toán tiền hàng</v>
      </c>
      <c r="F77" s="124" t="str">
        <f ca="1">IF(ROWS($1:64)&gt;COUNT(Dong1),"",IF(OFFSET(TH!M$1,SMALL(Dong1,ROWS($1:64)),)="1111",OFFSET(TH!L$1,SMALL(Dong1,ROWS($1:64)),),OFFSET(TH!M$1,SMALL(Dong1,ROWS($1:64)),)))</f>
        <v>331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18500000</v>
      </c>
      <c r="I77" s="121">
        <f t="shared" ca="1" si="0"/>
        <v>1921438426</v>
      </c>
      <c r="J77" s="126"/>
    </row>
    <row r="78" spans="1:10" ht="19.5" customHeight="1">
      <c r="A78" s="120">
        <f ca="1">IF(ROWS($1:65)&gt;COUNT(Dong1),"",OFFSET(TH!C$1,SMALL(Dong1,ROWS($1:65)),))</f>
        <v>41056</v>
      </c>
      <c r="B78" s="120">
        <f ca="1">IF(ROWS($1:65)&gt;COUNT(Dong1),"",OFFSET(TH!E$1,SMALL(Dong1,ROWS($1:65)),))</f>
        <v>41056</v>
      </c>
      <c r="C78" s="121" t="str">
        <f ca="1">IF(ROWS($1:65)&gt;COUNT(Dong1),"",IF(OFFSET(TH!L$1,SMALL(Dong1,ROWS($1:65)),)="1111",OFFSET(TH!D$1,SMALL(Dong1,ROWS($1:65)),),""))</f>
        <v>T28</v>
      </c>
      <c r="D78" s="122" t="str">
        <f ca="1">IF(ROWS($1:65)&gt;COUNT(Dong1),"",IF(OFFSET(TH!M$1,SMALL(Dong1,ROWS($1:65)),)="1111",OFFSET(TH!D$1,SMALL(Dong1,ROWS($1:65)),),""))</f>
        <v/>
      </c>
      <c r="E78" s="224" t="str">
        <f ca="1">IF(ROWS($1:65)&gt;COUNT(Dong1),"",OFFSET(TH!F$1,SMALL(Dong1,ROWS($1:65)),))</f>
        <v>Thu tiền hàng</v>
      </c>
      <c r="F78" s="124" t="str">
        <f ca="1">IF(ROWS($1:65)&gt;COUNT(Dong1),"",IF(OFFSET(TH!M$1,SMALL(Dong1,ROWS($1:65)),)="1111",OFFSET(TH!L$1,SMALL(Dong1,ROWS($1:65)),),OFFSET(TH!M$1,SMALL(Dong1,ROWS($1:65)),)))</f>
        <v>131</v>
      </c>
      <c r="G78" s="125">
        <f ca="1">IF(ROWS($1:65)&gt;COUNT(Dong1),"",IF(OFFSET(TH!L$1,SMALL(Dong1,ROWS($1:65)),)="1111",OFFSET(TH!K$1,SMALL(Dong1,ROWS($1:65)),),0))</f>
        <v>10681440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0"/>
        <v>1932119866</v>
      </c>
      <c r="J78" s="126"/>
    </row>
    <row r="79" spans="1:10" ht="19.5" customHeight="1">
      <c r="A79" s="120">
        <f ca="1">IF(ROWS($1:66)&gt;COUNT(Dong1),"",OFFSET(TH!C$1,SMALL(Dong1,ROWS($1:66)),))</f>
        <v>41057</v>
      </c>
      <c r="B79" s="120">
        <f ca="1">IF(ROWS($1:66)&gt;COUNT(Dong1),"",OFFSET(TH!E$1,SMALL(Dong1,ROWS($1:66)),))</f>
        <v>41057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C29</v>
      </c>
      <c r="E79" s="224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5865970</v>
      </c>
      <c r="I79" s="121">
        <f t="shared" ref="I79:I88" ca="1" si="1">IF(E79&lt;&gt;"",I78+G79-H79,0)</f>
        <v>1926253896</v>
      </c>
      <c r="J79" s="126"/>
    </row>
    <row r="80" spans="1:10" ht="19.5" customHeight="1">
      <c r="A80" s="120">
        <f ca="1">IF(ROWS($1:67)&gt;COUNT(Dong1),"",OFFSET(TH!C$1,SMALL(Dong1,ROWS($1:67)),))</f>
        <v>41059</v>
      </c>
      <c r="B80" s="120">
        <f ca="1">IF(ROWS($1:67)&gt;COUNT(Dong1),"",OFFSET(TH!E$1,SMALL(Dong1,ROWS($1:67)),))</f>
        <v>41059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C30</v>
      </c>
      <c r="E80" s="224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77500000</v>
      </c>
      <c r="I80" s="121">
        <f t="shared" ca="1" si="1"/>
        <v>1848753896</v>
      </c>
      <c r="J80" s="126"/>
    </row>
    <row r="81" spans="1:10" ht="19.5" customHeight="1">
      <c r="A81" s="120">
        <f ca="1">IF(ROWS($1:68)&gt;COUNT(Dong1),"",OFFSET(TH!C$1,SMALL(Dong1,ROWS($1:68)),))</f>
        <v>41059</v>
      </c>
      <c r="B81" s="120">
        <f ca="1">IF(ROWS($1:68)&gt;COUNT(Dong1),"",OFFSET(TH!E$1,SMALL(Dong1,ROWS($1:68)),))</f>
        <v>41059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C31</v>
      </c>
      <c r="E81" s="224" t="str">
        <f ca="1">IF(ROWS($1:68)&gt;COUNT(Dong1),"",OFFSET(TH!F$1,SMALL(Dong1,ROWS($1:68)),))</f>
        <v>Thanh toán tiền hàng</v>
      </c>
      <c r="F81" s="124" t="str">
        <f ca="1">IF(ROWS($1:68)&gt;COUNT(Dong1),"",IF(OFFSET(TH!M$1,SMALL(Dong1,ROWS($1:68)),)="1111",OFFSET(TH!L$1,SMALL(Dong1,ROWS($1:68)),),OFFSET(TH!M$1,SMALL(Dong1,ROWS($1:68)),)))</f>
        <v>331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19742580</v>
      </c>
      <c r="I81" s="121">
        <f t="shared" ca="1" si="1"/>
        <v>1829011316</v>
      </c>
      <c r="J81" s="126"/>
    </row>
    <row r="82" spans="1:10" ht="19.5" customHeight="1">
      <c r="A82" s="120">
        <f ca="1">IF(ROWS($1:69)&gt;COUNT(Dong1),"",OFFSET(TH!C$1,SMALL(Dong1,ROWS($1:69)),))</f>
        <v>41059</v>
      </c>
      <c r="B82" s="120">
        <f ca="1">IF(ROWS($1:69)&gt;COUNT(Dong1),"",OFFSET(TH!E$1,SMALL(Dong1,ROWS($1:69)),))</f>
        <v>41059</v>
      </c>
      <c r="C82" s="121" t="str">
        <f ca="1">IF(ROWS($1:69)&gt;COUNT(Dong1),"",IF(OFFSET(TH!L$1,SMALL(Dong1,ROWS($1:69)),)="1111",OFFSET(TH!D$1,SMALL(Dong1,ROWS($1:69)),),""))</f>
        <v>T29</v>
      </c>
      <c r="D82" s="122" t="str">
        <f ca="1">IF(ROWS($1:69)&gt;COUNT(Dong1),"",IF(OFFSET(TH!M$1,SMALL(Dong1,ROWS($1:69)),)="1111",OFFSET(TH!D$1,SMALL(Dong1,ROWS($1:69)),),""))</f>
        <v/>
      </c>
      <c r="E82" s="224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2842620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1831853936</v>
      </c>
      <c r="J82" s="126"/>
    </row>
    <row r="83" spans="1:10" ht="19.5" customHeight="1">
      <c r="A83" s="120">
        <f ca="1">IF(ROWS($1:70)&gt;COUNT(Dong1),"",OFFSET(TH!C$1,SMALL(Dong1,ROWS($1:70)),))</f>
        <v>41060</v>
      </c>
      <c r="B83" s="120">
        <f ca="1">IF(ROWS($1:70)&gt;COUNT(Dong1),"",OFFSET(TH!E$1,SMALL(Dong1,ROWS($1:70)),))</f>
        <v>41060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4" t="str">
        <f ca="1">IF(ROWS($1:70)&gt;COUNT(Dong1),"",OFFSET(TH!F$1,SMALL(Dong1,ROWS($1:70)),))</f>
        <v>Thanh toán tiền lương tháng 5/2012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22775000</v>
      </c>
      <c r="I83" s="121">
        <f t="shared" ca="1" si="1"/>
        <v>1809078936</v>
      </c>
      <c r="J83" s="126"/>
    </row>
    <row r="84" spans="1:10" ht="19.5" customHeight="1">
      <c r="A84" s="120">
        <f ca="1">IF(ROWS($1:71)&gt;COUNT(Dong1),"",OFFSET(TH!C$1,SMALL(Dong1,ROWS($1:71)),))</f>
        <v>41060</v>
      </c>
      <c r="B84" s="120">
        <f ca="1">IF(ROWS($1:71)&gt;COUNT(Dong1),"",OFFSET(TH!E$1,SMALL(Dong1,ROWS($1:71)),))</f>
        <v>41060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4" t="str">
        <f ca="1">IF(ROWS($1:71)&gt;COUNT(Dong1),"",OFFSET(TH!F$1,SMALL(Dong1,ROWS($1:71)),))</f>
        <v>Thanh toán tiền hàng</v>
      </c>
      <c r="F84" s="124" t="str">
        <f ca="1">IF(ROWS($1:71)&gt;COUNT(Dong1),"",IF(OFFSET(TH!M$1,SMALL(Dong1,ROWS($1:71)),)="1111",OFFSET(TH!L$1,SMALL(Dong1,ROWS($1:71)),),OFFSET(TH!M$1,SMALL(Dong1,ROWS($1:71)),)))</f>
        <v>331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19956717</v>
      </c>
      <c r="I84" s="121">
        <f t="shared" ca="1" si="1"/>
        <v>1789122219</v>
      </c>
      <c r="J84" s="126"/>
    </row>
    <row r="85" spans="1:10" ht="19.5" customHeight="1">
      <c r="A85" s="120">
        <f ca="1">IF(ROWS($1:72)&gt;COUNT(Dong1),"",OFFSET(TH!C$1,SMALL(Dong1,ROWS($1:72)),))</f>
        <v>41060</v>
      </c>
      <c r="B85" s="120">
        <f ca="1">IF(ROWS($1:72)&gt;COUNT(Dong1),"",OFFSET(TH!E$1,SMALL(Dong1,ROWS($1:72)),))</f>
        <v>41060</v>
      </c>
      <c r="C85" s="121" t="str">
        <f ca="1">IF(ROWS($1:72)&gt;COUNT(Dong1),"",IF(OFFSET(TH!L$1,SMALL(Dong1,ROWS($1:72)),)="1111",OFFSET(TH!D$1,SMALL(Dong1,ROWS($1:72)),),""))</f>
        <v>T30</v>
      </c>
      <c r="D85" s="122" t="str">
        <f ca="1">IF(ROWS($1:72)&gt;COUNT(Dong1),"",IF(OFFSET(TH!M$1,SMALL(Dong1,ROWS($1:72)),)="1111",OFFSET(TH!D$1,SMALL(Dong1,ROWS($1:72)),),""))</f>
        <v/>
      </c>
      <c r="E85" s="224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4294400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1793416619</v>
      </c>
      <c r="J85" s="126"/>
    </row>
    <row r="86" spans="1:10" ht="19.5" customHeight="1">
      <c r="A86" s="120">
        <f ca="1">IF(ROWS($1:73)&gt;COUNT(Dong1),"",OFFSET(TH!C$1,SMALL(Dong1,ROWS($1:73)),))</f>
        <v>41060</v>
      </c>
      <c r="B86" s="120">
        <f ca="1">IF(ROWS($1:73)&gt;COUNT(Dong1),"",OFFSET(TH!E$1,SMALL(Dong1,ROWS($1:73)),))</f>
        <v>41060</v>
      </c>
      <c r="C86" s="121" t="str">
        <f ca="1">IF(ROWS($1:73)&gt;COUNT(Dong1),"",IF(OFFSET(TH!L$1,SMALL(Dong1,ROWS($1:73)),)="1111",OFFSET(TH!D$1,SMALL(Dong1,ROWS($1:73)),),""))</f>
        <v>T31</v>
      </c>
      <c r="D86" s="122" t="str">
        <f ca="1">IF(ROWS($1:73)&gt;COUNT(Dong1),"",IF(OFFSET(TH!M$1,SMALL(Dong1,ROWS($1:73)),)="1111",OFFSET(TH!D$1,SMALL(Dong1,ROWS($1:73)),),""))</f>
        <v/>
      </c>
      <c r="E86" s="224" t="str">
        <f ca="1">IF(ROWS($1:73)&gt;COUNT(Dong1),"",OFFSET(TH!F$1,SMALL(Dong1,ROWS($1:73)),))</f>
        <v>Thu tiền hàng</v>
      </c>
      <c r="F86" s="124" t="str">
        <f ca="1">IF(ROWS($1:73)&gt;COUNT(Dong1),"",IF(OFFSET(TH!M$1,SMALL(Dong1,ROWS($1:73)),)="1111",OFFSET(TH!L$1,SMALL(Dong1,ROWS($1:73)),),OFFSET(TH!M$1,SMALL(Dong1,ROWS($1:73)),)))</f>
        <v>131</v>
      </c>
      <c r="G86" s="125">
        <f ca="1">IF(ROWS($1:73)&gt;COUNT(Dong1),"",IF(OFFSET(TH!L$1,SMALL(Dong1,ROWS($1:73)),)="1111",OFFSET(TH!K$1,SMALL(Dong1,ROWS($1:73)),),0))</f>
        <v>16500000</v>
      </c>
      <c r="H86" s="123">
        <f ca="1">IF(ROWS($1:73)&gt;COUNT(Dong1),"",IF(OFFSET(TH!M$1,SMALL(Dong1,ROWS($1:73)),)="1111",OFFSET(TH!K$1,SMALL(Dong1,ROWS($1:73)),),0))</f>
        <v>0</v>
      </c>
      <c r="I86" s="121">
        <f t="shared" ca="1" si="1"/>
        <v>1809916619</v>
      </c>
      <c r="J86" s="126"/>
    </row>
    <row r="87" spans="1:10" ht="19.5" customHeight="1">
      <c r="A87" s="120">
        <f ca="1">IF(ROWS($1:74)&gt;COUNT(Dong1),"",OFFSET(TH!C$1,SMALL(Dong1,ROWS($1:74)),))</f>
        <v>41061</v>
      </c>
      <c r="B87" s="120">
        <f ca="1">IF(ROWS($1:74)&gt;COUNT(Dong1),"",OFFSET(TH!E$1,SMALL(Dong1,ROWS($1:74)),))</f>
        <v>41061</v>
      </c>
      <c r="C87" s="121" t="str">
        <f ca="1">IF(ROWS($1:74)&gt;COUNT(Dong1),"",IF(OFFSET(TH!L$1,SMALL(Dong1,ROWS($1:74)),)="1111",OFFSET(TH!D$1,SMALL(Dong1,ROWS($1:74)),),""))</f>
        <v>T32</v>
      </c>
      <c r="D87" s="122" t="str">
        <f ca="1">IF(ROWS($1:74)&gt;COUNT(Dong1),"",IF(OFFSET(TH!M$1,SMALL(Dong1,ROWS($1:74)),)="1111",OFFSET(TH!D$1,SMALL(Dong1,ROWS($1:74)),),""))</f>
        <v/>
      </c>
      <c r="E87" s="224" t="str">
        <f ca="1">IF(ROWS($1:74)&gt;COUNT(Dong1),"",OFFSET(TH!F$1,SMALL(Dong1,ROWS($1:74)),))</f>
        <v>Thu tiền hàng</v>
      </c>
      <c r="F87" s="124" t="str">
        <f ca="1">IF(ROWS($1:74)&gt;COUNT(Dong1),"",IF(OFFSET(TH!M$1,SMALL(Dong1,ROWS($1:74)),)="1111",OFFSET(TH!L$1,SMALL(Dong1,ROWS($1:74)),),OFFSET(TH!M$1,SMALL(Dong1,ROWS($1:74)),)))</f>
        <v>131</v>
      </c>
      <c r="G87" s="125">
        <f ca="1">IF(ROWS($1:74)&gt;COUNT(Dong1),"",IF(OFFSET(TH!L$1,SMALL(Dong1,ROWS($1:74)),)="1111",OFFSET(TH!K$1,SMALL(Dong1,ROWS($1:74)),),0))</f>
        <v>6384708</v>
      </c>
      <c r="H87" s="123">
        <f ca="1">IF(ROWS($1:74)&gt;COUNT(Dong1),"",IF(OFFSET(TH!M$1,SMALL(Dong1,ROWS($1:74)),)="1111",OFFSET(TH!K$1,SMALL(Dong1,ROWS($1:74)),),0))</f>
        <v>0</v>
      </c>
      <c r="I87" s="121">
        <f t="shared" ca="1" si="1"/>
        <v>1816301327</v>
      </c>
      <c r="J87" s="126"/>
    </row>
    <row r="88" spans="1:10" ht="19.5" customHeight="1">
      <c r="A88" s="120">
        <f ca="1">IF(ROWS($1:75)&gt;COUNT(Dong1),"",OFFSET(TH!C$1,SMALL(Dong1,ROWS($1:75)),))</f>
        <v>41064</v>
      </c>
      <c r="B88" s="120">
        <f ca="1">IF(ROWS($1:75)&gt;COUNT(Dong1),"",OFFSET(TH!E$1,SMALL(Dong1,ROWS($1:75)),))</f>
        <v>41064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C34</v>
      </c>
      <c r="E88" s="224" t="str">
        <f ca="1">IF(ROWS($1:75)&gt;COUNT(Dong1),"",OFFSET(TH!F$1,SMALL(Dong1,ROWS($1:75)),))</f>
        <v>Thanh toán tiền hàng</v>
      </c>
      <c r="F88" s="124" t="str">
        <f ca="1">IF(ROWS($1:75)&gt;COUNT(Dong1),"",IF(OFFSET(TH!M$1,SMALL(Dong1,ROWS($1:75)),)="1111",OFFSET(TH!L$1,SMALL(Dong1,ROWS($1:75)),),OFFSET(TH!M$1,SMALL(Dong1,ROWS($1:75)),)))</f>
        <v>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4873550</v>
      </c>
      <c r="I88" s="121">
        <f t="shared" ca="1" si="1"/>
        <v>1811427777</v>
      </c>
      <c r="J88" s="126"/>
    </row>
    <row r="89" spans="1:10" ht="19.5" customHeight="1">
      <c r="A89" s="120">
        <f ca="1">IF(ROWS($1:76)&gt;COUNT(Dong1),"",OFFSET(TH!C$1,SMALL(Dong1,ROWS($1:76)),))</f>
        <v>41065</v>
      </c>
      <c r="B89" s="120">
        <f ca="1">IF(ROWS($1:76)&gt;COUNT(Dong1),"",OFFSET(TH!E$1,SMALL(Dong1,ROWS($1:76)),))</f>
        <v>41065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C35</v>
      </c>
      <c r="E89" s="224" t="str">
        <f ca="1">IF(ROWS($1:76)&gt;COUNT(Dong1),"",OFFSET(TH!F$1,SMALL(Dong1,ROWS($1:76)),))</f>
        <v>Cước dịch vụ viễn thông TPHCM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697704</v>
      </c>
      <c r="I89" s="121">
        <f t="shared" ref="I89:I92" ca="1" si="2">IF(E89&lt;&gt;"",I88+G89-H89,0)</f>
        <v>1810730073</v>
      </c>
      <c r="J89" s="126"/>
    </row>
    <row r="90" spans="1:10" ht="19.5" customHeight="1">
      <c r="A90" s="120">
        <f ca="1">IF(ROWS($1:77)&gt;COUNT(Dong1),"",OFFSET(TH!C$1,SMALL(Dong1,ROWS($1:77)),))</f>
        <v>41065</v>
      </c>
      <c r="B90" s="120">
        <f ca="1">IF(ROWS($1:77)&gt;COUNT(Dong1),"",OFFSET(TH!E$1,SMALL(Dong1,ROWS($1:77)),))</f>
        <v>41065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C35</v>
      </c>
      <c r="E90" s="224" t="str">
        <f ca="1">IF(ROWS($1:77)&gt;COUNT(Dong1),"",OFFSET(TH!F$1,SMALL(Dong1,ROWS($1:77)),))</f>
        <v>VAT Cước dịch vụ viễn thông TPHCM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69770</v>
      </c>
      <c r="I90" s="121">
        <f t="shared" ca="1" si="2"/>
        <v>1810660303</v>
      </c>
      <c r="J90" s="126"/>
    </row>
    <row r="91" spans="1:10" ht="19.5" customHeight="1">
      <c r="A91" s="120">
        <f ca="1">IF(ROWS($1:78)&gt;COUNT(Dong1),"",OFFSET(TH!C$1,SMALL(Dong1,ROWS($1:78)),))</f>
        <v>41066</v>
      </c>
      <c r="B91" s="120">
        <f ca="1">IF(ROWS($1:78)&gt;COUNT(Dong1),"",OFFSET(TH!E$1,SMALL(Dong1,ROWS($1:78)),))</f>
        <v>41066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C36</v>
      </c>
      <c r="E91" s="224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13857360</v>
      </c>
      <c r="I91" s="121">
        <f t="shared" ca="1" si="2"/>
        <v>1796802943</v>
      </c>
      <c r="J91" s="126"/>
    </row>
    <row r="92" spans="1:10" ht="19.5" customHeight="1">
      <c r="A92" s="120">
        <f ca="1">IF(ROWS($1:79)&gt;COUNT(Dong1),"",OFFSET(TH!C$1,SMALL(Dong1,ROWS($1:79)),))</f>
        <v>41066</v>
      </c>
      <c r="B92" s="120">
        <f ca="1">IF(ROWS($1:79)&gt;COUNT(Dong1),"",OFFSET(TH!E$1,SMALL(Dong1,ROWS($1:79)),))</f>
        <v>41066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C37</v>
      </c>
      <c r="E92" s="224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15000000</v>
      </c>
      <c r="I92" s="121">
        <f t="shared" ca="1" si="2"/>
        <v>1781802943</v>
      </c>
      <c r="J92" s="126"/>
    </row>
    <row r="93" spans="1:10" ht="19.5" customHeight="1">
      <c r="A93" s="120">
        <f ca="1">IF(ROWS($1:80)&gt;COUNT(Dong1),"",OFFSET(TH!C$1,SMALL(Dong1,ROWS($1:80)),))</f>
        <v>41068</v>
      </c>
      <c r="B93" s="120">
        <f ca="1">IF(ROWS($1:80)&gt;COUNT(Dong1),"",OFFSET(TH!E$1,SMALL(Dong1,ROWS($1:80)),))</f>
        <v>41068</v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>C38</v>
      </c>
      <c r="E93" s="224" t="str">
        <f ca="1">IF(ROWS($1:80)&gt;COUNT(Dong1),"",OFFSET(TH!F$1,SMALL(Dong1,ROWS($1:80)),))</f>
        <v>Thanh toán tiền hàng</v>
      </c>
      <c r="F93" s="124" t="str">
        <f ca="1">IF(ROWS($1:80)&gt;COUNT(Dong1),"",IF(OFFSET(TH!M$1,SMALL(Dong1,ROWS($1:80)),)="1111",OFFSET(TH!L$1,SMALL(Dong1,ROWS($1:80)),),OFFSET(TH!M$1,SMALL(Dong1,ROWS($1:80)),)))</f>
        <v>331</v>
      </c>
      <c r="G93" s="125">
        <f ca="1">IF(ROWS($1:80)&gt;COUNT(Dong1),"",IF(OFFSET(TH!L$1,SMALL(Dong1,ROWS($1:80)),)="1111",OFFSET(TH!K$1,SMALL(Dong1,ROWS($1:80)),),0))</f>
        <v>0</v>
      </c>
      <c r="H93" s="123">
        <f ca="1">IF(ROWS($1:80)&gt;COUNT(Dong1),"",IF(OFFSET(TH!M$1,SMALL(Dong1,ROWS($1:80)),)="1111",OFFSET(TH!K$1,SMALL(Dong1,ROWS($1:80)),),0))</f>
        <v>17370700</v>
      </c>
      <c r="I93" s="121">
        <f t="shared" ref="I93:I108" ca="1" si="3">IF(E93&lt;&gt;"",I92+G93-H93,0)</f>
        <v>1764432243</v>
      </c>
      <c r="J93" s="126"/>
    </row>
    <row r="94" spans="1:10" ht="19.5" customHeight="1">
      <c r="A94" s="120">
        <f ca="1">IF(ROWS($1:81)&gt;COUNT(Dong1),"",OFFSET(TH!C$1,SMALL(Dong1,ROWS($1:81)),))</f>
        <v>41071</v>
      </c>
      <c r="B94" s="120">
        <f ca="1">IF(ROWS($1:81)&gt;COUNT(Dong1),"",OFFSET(TH!E$1,SMALL(Dong1,ROWS($1:81)),))</f>
        <v>41071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C39</v>
      </c>
      <c r="E94" s="224" t="str">
        <f ca="1">IF(ROWS($1:81)&gt;COUNT(Dong1),"",OFFSET(TH!F$1,SMALL(Dong1,ROWS($1:81)),))</f>
        <v>Mực in V-FLEX 8559 Blue</v>
      </c>
      <c r="F94" s="124" t="str">
        <f ca="1">IF(ROWS($1:81)&gt;COUNT(Dong1),"",IF(OFFSET(TH!M$1,SMALL(Dong1,ROWS($1:81)),)="1111",OFFSET(TH!L$1,SMALL(Dong1,ROWS($1:81)),),OFFSET(TH!M$1,SMALL(Dong1,ROWS($1:81)),)))</f>
        <v>154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1600000</v>
      </c>
      <c r="I94" s="121">
        <f t="shared" ca="1" si="3"/>
        <v>1762832243</v>
      </c>
      <c r="J94" s="126"/>
    </row>
    <row r="95" spans="1:10" ht="19.5" customHeight="1">
      <c r="A95" s="120">
        <f ca="1">IF(ROWS($1:82)&gt;COUNT(Dong1),"",OFFSET(TH!C$1,SMALL(Dong1,ROWS($1:82)),))</f>
        <v>41071</v>
      </c>
      <c r="B95" s="120">
        <f ca="1">IF(ROWS($1:82)&gt;COUNT(Dong1),"",OFFSET(TH!E$1,SMALL(Dong1,ROWS($1:82)),))</f>
        <v>41071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C39</v>
      </c>
      <c r="E95" s="224" t="str">
        <f ca="1">IF(ROWS($1:82)&gt;COUNT(Dong1),"",OFFSET(TH!F$1,SMALL(Dong1,ROWS($1:82)),))</f>
        <v>VAT Mực in</v>
      </c>
      <c r="F95" s="124" t="str">
        <f ca="1">IF(ROWS($1:82)&gt;COUNT(Dong1),"",IF(OFFSET(TH!M$1,SMALL(Dong1,ROWS($1:82)),)="1111",OFFSET(TH!L$1,SMALL(Dong1,ROWS($1:82)),),OFFSET(TH!M$1,SMALL(Dong1,ROWS($1:82)),)))</f>
        <v>1331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160000</v>
      </c>
      <c r="I95" s="121">
        <f t="shared" ca="1" si="3"/>
        <v>1762672243</v>
      </c>
      <c r="J95" s="126"/>
    </row>
    <row r="96" spans="1:10" ht="19.5" customHeight="1">
      <c r="A96" s="120">
        <f ca="1">IF(ROWS($1:83)&gt;COUNT(Dong1),"",OFFSET(TH!C$1,SMALL(Dong1,ROWS($1:83)),))</f>
        <v>41071</v>
      </c>
      <c r="B96" s="120">
        <f ca="1">IF(ROWS($1:83)&gt;COUNT(Dong1),"",OFFSET(TH!E$1,SMALL(Dong1,ROWS($1:83)),))</f>
        <v>41071</v>
      </c>
      <c r="C96" s="121" t="str">
        <f ca="1">IF(ROWS($1:83)&gt;COUNT(Dong1),"",IF(OFFSET(TH!L$1,SMALL(Dong1,ROWS($1:83)),)="1111",OFFSET(TH!D$1,SMALL(Dong1,ROWS($1:83)),),""))</f>
        <v>T33</v>
      </c>
      <c r="D96" s="122" t="str">
        <f ca="1">IF(ROWS($1:83)&gt;COUNT(Dong1),"",IF(OFFSET(TH!M$1,SMALL(Dong1,ROWS($1:83)),)="1111",OFFSET(TH!D$1,SMALL(Dong1,ROWS($1:83)),),""))</f>
        <v/>
      </c>
      <c r="E96" s="224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8551125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1771223368</v>
      </c>
      <c r="J96" s="126"/>
    </row>
    <row r="97" spans="1:10" ht="19.5" customHeight="1">
      <c r="A97" s="120">
        <f ca="1">IF(ROWS($1:84)&gt;COUNT(Dong1),"",OFFSET(TH!C$1,SMALL(Dong1,ROWS($1:84)),))</f>
        <v>41072</v>
      </c>
      <c r="B97" s="120">
        <f ca="1">IF(ROWS($1:84)&gt;COUNT(Dong1),"",OFFSET(TH!E$1,SMALL(Dong1,ROWS($1:84)),))</f>
        <v>41072</v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>C40</v>
      </c>
      <c r="E97" s="224" t="str">
        <f ca="1">IF(ROWS($1:84)&gt;COUNT(Dong1),"",OFFSET(TH!F$1,SMALL(Dong1,ROWS($1:84)),))</f>
        <v>Thanh toán tiền hàng</v>
      </c>
      <c r="F97" s="124" t="str">
        <f ca="1">IF(ROWS($1:84)&gt;COUNT(Dong1),"",IF(OFFSET(TH!M$1,SMALL(Dong1,ROWS($1:84)),)="1111",OFFSET(TH!L$1,SMALL(Dong1,ROWS($1:84)),),OFFSET(TH!M$1,SMALL(Dong1,ROWS($1:84)),)))</f>
        <v>331</v>
      </c>
      <c r="G97" s="125">
        <f ca="1">IF(ROWS($1:84)&gt;COUNT(Dong1),"",IF(OFFSET(TH!L$1,SMALL(Dong1,ROWS($1:84)),)="1111",OFFSET(TH!K$1,SMALL(Dong1,ROWS($1:84)),),0))</f>
        <v>0</v>
      </c>
      <c r="H97" s="123">
        <f ca="1">IF(ROWS($1:84)&gt;COUNT(Dong1),"",IF(OFFSET(TH!M$1,SMALL(Dong1,ROWS($1:84)),)="1111",OFFSET(TH!K$1,SMALL(Dong1,ROWS($1:84)),),0))</f>
        <v>16304627</v>
      </c>
      <c r="I97" s="121">
        <f t="shared" ca="1" si="3"/>
        <v>1754918741</v>
      </c>
      <c r="J97" s="126"/>
    </row>
    <row r="98" spans="1:10" ht="19.5" customHeight="1">
      <c r="A98" s="120">
        <f ca="1">IF(ROWS($1:85)&gt;COUNT(Dong1),"",OFFSET(TH!C$1,SMALL(Dong1,ROWS($1:85)),))</f>
        <v>41072</v>
      </c>
      <c r="B98" s="120">
        <f ca="1">IF(ROWS($1:85)&gt;COUNT(Dong1),"",OFFSET(TH!E$1,SMALL(Dong1,ROWS($1:85)),))</f>
        <v>41072</v>
      </c>
      <c r="C98" s="121" t="str">
        <f ca="1">IF(ROWS($1:85)&gt;COUNT(Dong1),"",IF(OFFSET(TH!L$1,SMALL(Dong1,ROWS($1:85)),)="1111",OFFSET(TH!D$1,SMALL(Dong1,ROWS($1:85)),),""))</f>
        <v>T34</v>
      </c>
      <c r="D98" s="122" t="str">
        <f ca="1">IF(ROWS($1:85)&gt;COUNT(Dong1),"",IF(OFFSET(TH!M$1,SMALL(Dong1,ROWS($1:85)),)="1111",OFFSET(TH!D$1,SMALL(Dong1,ROWS($1:85)),),""))</f>
        <v/>
      </c>
      <c r="E98" s="224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7533570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1762452311</v>
      </c>
      <c r="J98" s="126"/>
    </row>
    <row r="99" spans="1:10" ht="19.5" customHeight="1">
      <c r="A99" s="120">
        <f ca="1">IF(ROWS($1:86)&gt;COUNT(Dong1),"",OFFSET(TH!C$1,SMALL(Dong1,ROWS($1:86)),))</f>
        <v>41073</v>
      </c>
      <c r="B99" s="120">
        <f ca="1">IF(ROWS($1:86)&gt;COUNT(Dong1),"",OFFSET(TH!E$1,SMALL(Dong1,ROWS($1:86)),))</f>
        <v>41073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C41</v>
      </c>
      <c r="E99" s="224" t="str">
        <f ca="1">IF(ROWS($1:86)&gt;COUNT(Dong1),"",OFFSET(TH!F$1,SMALL(Dong1,ROWS($1:86)),))</f>
        <v>Mực in V-FLEX 8566 Green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1560000</v>
      </c>
      <c r="I99" s="121">
        <f t="shared" ca="1" si="3"/>
        <v>1760892311</v>
      </c>
      <c r="J99" s="126"/>
    </row>
    <row r="100" spans="1:10" ht="19.5" customHeight="1">
      <c r="A100" s="120">
        <f ca="1">IF(ROWS($1:87)&gt;COUNT(Dong1),"",OFFSET(TH!C$1,SMALL(Dong1,ROWS($1:87)),))</f>
        <v>41073</v>
      </c>
      <c r="B100" s="120">
        <f ca="1">IF(ROWS($1:87)&gt;COUNT(Dong1),"",OFFSET(TH!E$1,SMALL(Dong1,ROWS($1:87)),))</f>
        <v>41073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C41</v>
      </c>
      <c r="E100" s="224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156000</v>
      </c>
      <c r="I100" s="121">
        <f t="shared" ca="1" si="3"/>
        <v>1760736311</v>
      </c>
      <c r="J100" s="126"/>
    </row>
    <row r="101" spans="1:10" ht="19.5" customHeight="1">
      <c r="A101" s="120">
        <f ca="1">IF(ROWS($1:88)&gt;COUNT(Dong1),"",OFFSET(TH!C$1,SMALL(Dong1,ROWS($1:88)),))</f>
        <v>41073</v>
      </c>
      <c r="B101" s="120">
        <f ca="1">IF(ROWS($1:88)&gt;COUNT(Dong1),"",OFFSET(TH!E$1,SMALL(Dong1,ROWS($1:88)),))</f>
        <v>41073</v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>C42</v>
      </c>
      <c r="E101" s="224" t="str">
        <f ca="1">IF(ROWS($1:88)&gt;COUNT(Dong1),"",OFFSET(TH!F$1,SMALL(Dong1,ROWS($1:88)),))</f>
        <v>Thanh toán tiền hàng</v>
      </c>
      <c r="F101" s="124" t="str">
        <f ca="1">IF(ROWS($1:88)&gt;COUNT(Dong1),"",IF(OFFSET(TH!M$1,SMALL(Dong1,ROWS($1:88)),)="1111",OFFSET(TH!L$1,SMALL(Dong1,ROWS($1:88)),),OFFSET(TH!M$1,SMALL(Dong1,ROWS($1:88)),)))</f>
        <v>331</v>
      </c>
      <c r="G101" s="125">
        <f ca="1">IF(ROWS($1:88)&gt;COUNT(Dong1),"",IF(OFFSET(TH!L$1,SMALL(Dong1,ROWS($1:88)),)="1111",OFFSET(TH!K$1,SMALL(Dong1,ROWS($1:88)),),0))</f>
        <v>0</v>
      </c>
      <c r="H101" s="123">
        <f ca="1">IF(ROWS($1:88)&gt;COUNT(Dong1),"",IF(OFFSET(TH!M$1,SMALL(Dong1,ROWS($1:88)),)="1111",OFFSET(TH!K$1,SMALL(Dong1,ROWS($1:88)),),0))</f>
        <v>7232225</v>
      </c>
      <c r="I101" s="121">
        <f t="shared" ca="1" si="3"/>
        <v>1753504086</v>
      </c>
      <c r="J101" s="126"/>
    </row>
    <row r="102" spans="1:10" ht="19.5" customHeight="1">
      <c r="A102" s="120">
        <f ca="1">IF(ROWS($1:89)&gt;COUNT(Dong1),"",OFFSET(TH!C$1,SMALL(Dong1,ROWS($1:89)),))</f>
        <v>41076</v>
      </c>
      <c r="B102" s="120">
        <f ca="1">IF(ROWS($1:89)&gt;COUNT(Dong1),"",OFFSET(TH!E$1,SMALL(Dong1,ROWS($1:89)),))</f>
        <v>41076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C43</v>
      </c>
      <c r="E102" s="224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10068300</v>
      </c>
      <c r="I102" s="121">
        <f t="shared" ca="1" si="3"/>
        <v>1743435786</v>
      </c>
      <c r="J102" s="126"/>
    </row>
    <row r="103" spans="1:10" ht="19.5" customHeight="1">
      <c r="A103" s="120">
        <f ca="1">IF(ROWS($1:90)&gt;COUNT(Dong1),"",OFFSET(TH!C$1,SMALL(Dong1,ROWS($1:90)),))</f>
        <v>41078</v>
      </c>
      <c r="B103" s="120">
        <f ca="1">IF(ROWS($1:90)&gt;COUNT(Dong1),"",OFFSET(TH!E$1,SMALL(Dong1,ROWS($1:90)),))</f>
        <v>41078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C44</v>
      </c>
      <c r="E103" s="224" t="str">
        <f ca="1">IF(ROWS($1:90)&gt;COUNT(Dong1),"",OFFSET(TH!F$1,SMALL(Dong1,ROWS($1:90)),))</f>
        <v>Nộp tiền mặt vào tài khoản</v>
      </c>
      <c r="F103" s="124" t="str">
        <f ca="1">IF(ROWS($1:90)&gt;COUNT(Dong1),"",IF(OFFSET(TH!M$1,SMALL(Dong1,ROWS($1:90)),)="1111",OFFSET(TH!L$1,SMALL(Dong1,ROWS($1:90)),),OFFSET(TH!M$1,SMALL(Dong1,ROWS($1:90)),)))</f>
        <v>1121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50000000</v>
      </c>
      <c r="I103" s="121">
        <f t="shared" ca="1" si="3"/>
        <v>1693435786</v>
      </c>
      <c r="J103" s="126"/>
    </row>
    <row r="104" spans="1:10" ht="19.5" customHeight="1">
      <c r="A104" s="120">
        <f ca="1">IF(ROWS($1:91)&gt;COUNT(Dong1),"",OFFSET(TH!C$1,SMALL(Dong1,ROWS($1:91)),))</f>
        <v>41080</v>
      </c>
      <c r="B104" s="120">
        <f ca="1">IF(ROWS($1:91)&gt;COUNT(Dong1),"",OFFSET(TH!E$1,SMALL(Dong1,ROWS($1:91)),))</f>
        <v>41080</v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>C45</v>
      </c>
      <c r="E104" s="224" t="str">
        <f ca="1">IF(ROWS($1:91)&gt;COUNT(Dong1),"",OFFSET(TH!F$1,SMALL(Dong1,ROWS($1:91)),))</f>
        <v>Mực in V-FLEX 6412 Red, 8580 Blue</v>
      </c>
      <c r="F104" s="124" t="str">
        <f ca="1">IF(ROWS($1:91)&gt;COUNT(Dong1),"",IF(OFFSET(TH!M$1,SMALL(Dong1,ROWS($1:91)),)="1111",OFFSET(TH!L$1,SMALL(Dong1,ROWS($1:91)),),OFFSET(TH!M$1,SMALL(Dong1,ROWS($1:91)),)))</f>
        <v>154</v>
      </c>
      <c r="G104" s="125">
        <f ca="1">IF(ROWS($1:91)&gt;COUNT(Dong1),"",IF(OFFSET(TH!L$1,SMALL(Dong1,ROWS($1:91)),)="1111",OFFSET(TH!K$1,SMALL(Dong1,ROWS($1:91)),),0))</f>
        <v>0</v>
      </c>
      <c r="H104" s="123">
        <f ca="1">IF(ROWS($1:91)&gt;COUNT(Dong1),"",IF(OFFSET(TH!M$1,SMALL(Dong1,ROWS($1:91)),)="1111",OFFSET(TH!K$1,SMALL(Dong1,ROWS($1:91)),),0))</f>
        <v>2920000</v>
      </c>
      <c r="I104" s="121">
        <f t="shared" ca="1" si="3"/>
        <v>1690515786</v>
      </c>
      <c r="J104" s="126"/>
    </row>
    <row r="105" spans="1:10" ht="19.5" customHeight="1">
      <c r="A105" s="120">
        <f ca="1">IF(ROWS($1:92)&gt;COUNT(Dong1),"",OFFSET(TH!C$1,SMALL(Dong1,ROWS($1:92)),))</f>
        <v>41080</v>
      </c>
      <c r="B105" s="120">
        <f ca="1">IF(ROWS($1:92)&gt;COUNT(Dong1),"",OFFSET(TH!E$1,SMALL(Dong1,ROWS($1:92)),))</f>
        <v>41080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C45</v>
      </c>
      <c r="E105" s="224" t="str">
        <f ca="1">IF(ROWS($1:92)&gt;COUNT(Dong1),"",OFFSET(TH!F$1,SMALL(Dong1,ROWS($1:92)),))</f>
        <v>VAT Mực in</v>
      </c>
      <c r="F105" s="124" t="str">
        <f ca="1">IF(ROWS($1:92)&gt;COUNT(Dong1),"",IF(OFFSET(TH!M$1,SMALL(Dong1,ROWS($1:92)),)="1111",OFFSET(TH!L$1,SMALL(Dong1,ROWS($1:92)),),OFFSET(TH!M$1,SMALL(Dong1,ROWS($1:92)),)))</f>
        <v>154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292000</v>
      </c>
      <c r="I105" s="121">
        <f t="shared" ca="1" si="3"/>
        <v>1690223786</v>
      </c>
      <c r="J105" s="126"/>
    </row>
    <row r="106" spans="1:10" ht="19.5" customHeight="1">
      <c r="A106" s="120">
        <f ca="1">IF(ROWS($1:93)&gt;COUNT(Dong1),"",OFFSET(TH!C$1,SMALL(Dong1,ROWS($1:93)),))</f>
        <v>41081</v>
      </c>
      <c r="B106" s="120">
        <f ca="1">IF(ROWS($1:93)&gt;COUNT(Dong1),"",OFFSET(TH!E$1,SMALL(Dong1,ROWS($1:93)),))</f>
        <v>41081</v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>C46</v>
      </c>
      <c r="E106" s="224" t="str">
        <f ca="1">IF(ROWS($1:93)&gt;COUNT(Dong1),"",OFFSET(TH!F$1,SMALL(Dong1,ROWS($1:93)),))</f>
        <v>Thanh toán tiền hàng</v>
      </c>
      <c r="F106" s="124" t="str">
        <f ca="1">IF(ROWS($1:93)&gt;COUNT(Dong1),"",IF(OFFSET(TH!M$1,SMALL(Dong1,ROWS($1:93)),)="1111",OFFSET(TH!L$1,SMALL(Dong1,ROWS($1:93)),),OFFSET(TH!M$1,SMALL(Dong1,ROWS($1:93)),)))</f>
        <v>331</v>
      </c>
      <c r="G106" s="125">
        <f ca="1">IF(ROWS($1:93)&gt;COUNT(Dong1),"",IF(OFFSET(TH!L$1,SMALL(Dong1,ROWS($1:93)),)="1111",OFFSET(TH!K$1,SMALL(Dong1,ROWS($1:93)),),0))</f>
        <v>0</v>
      </c>
      <c r="H106" s="123">
        <f ca="1">IF(ROWS($1:93)&gt;COUNT(Dong1),"",IF(OFFSET(TH!M$1,SMALL(Dong1,ROWS($1:93)),)="1111",OFFSET(TH!K$1,SMALL(Dong1,ROWS($1:93)),),0))</f>
        <v>15500000</v>
      </c>
      <c r="I106" s="121">
        <f t="shared" ca="1" si="3"/>
        <v>1674723786</v>
      </c>
      <c r="J106" s="126"/>
    </row>
    <row r="107" spans="1:10" ht="19.5" customHeight="1">
      <c r="A107" s="120">
        <f ca="1">IF(ROWS($1:94)&gt;COUNT(Dong1),"",OFFSET(TH!C$1,SMALL(Dong1,ROWS($1:94)),))</f>
        <v>41082</v>
      </c>
      <c r="B107" s="120">
        <f ca="1">IF(ROWS($1:94)&gt;COUNT(Dong1),"",OFFSET(TH!E$1,SMALL(Dong1,ROWS($1:94)),))</f>
        <v>41082</v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>C47</v>
      </c>
      <c r="E107" s="224" t="str">
        <f ca="1">IF(ROWS($1:94)&gt;COUNT(Dong1),"",OFFSET(TH!F$1,SMALL(Dong1,ROWS($1:94)),))</f>
        <v>Thanh toán tiền hàng</v>
      </c>
      <c r="F107" s="124" t="str">
        <f ca="1">IF(ROWS($1:94)&gt;COUNT(Dong1),"",IF(OFFSET(TH!M$1,SMALL(Dong1,ROWS($1:94)),)="1111",OFFSET(TH!L$1,SMALL(Dong1,ROWS($1:94)),),OFFSET(TH!M$1,SMALL(Dong1,ROWS($1:94)),)))</f>
        <v>331</v>
      </c>
      <c r="G107" s="125">
        <f ca="1">IF(ROWS($1:94)&gt;COUNT(Dong1),"",IF(OFFSET(TH!L$1,SMALL(Dong1,ROWS($1:94)),)="1111",OFFSET(TH!K$1,SMALL(Dong1,ROWS($1:94)),),0))</f>
        <v>0</v>
      </c>
      <c r="H107" s="123">
        <f ca="1">IF(ROWS($1:94)&gt;COUNT(Dong1),"",IF(OFFSET(TH!M$1,SMALL(Dong1,ROWS($1:94)),)="1111",OFFSET(TH!K$1,SMALL(Dong1,ROWS($1:94)),),0))</f>
        <v>9993555</v>
      </c>
      <c r="I107" s="121">
        <f t="shared" ca="1" si="3"/>
        <v>1664730231</v>
      </c>
      <c r="J107" s="126"/>
    </row>
    <row r="108" spans="1:10" ht="19.5" customHeight="1">
      <c r="A108" s="120">
        <f ca="1">IF(ROWS($1:95)&gt;COUNT(Dong1),"",OFFSET(TH!C$1,SMALL(Dong1,ROWS($1:95)),))</f>
        <v>41083</v>
      </c>
      <c r="B108" s="120">
        <f ca="1">IF(ROWS($1:95)&gt;COUNT(Dong1),"",OFFSET(TH!E$1,SMALL(Dong1,ROWS($1:95)),))</f>
        <v>41083</v>
      </c>
      <c r="C108" s="121" t="str">
        <f ca="1">IF(ROWS($1:95)&gt;COUNT(Dong1),"",IF(OFFSET(TH!L$1,SMALL(Dong1,ROWS($1:95)),)="1111",OFFSET(TH!D$1,SMALL(Dong1,ROWS($1:95)),),""))</f>
        <v>T35</v>
      </c>
      <c r="D108" s="122" t="str">
        <f ca="1">IF(ROWS($1:95)&gt;COUNT(Dong1),"",IF(OFFSET(TH!M$1,SMALL(Dong1,ROWS($1:95)),)="1111",OFFSET(TH!D$1,SMALL(Dong1,ROWS($1:95)),),""))</f>
        <v/>
      </c>
      <c r="E108" s="224" t="str">
        <f ca="1">IF(ROWS($1:95)&gt;COUNT(Dong1),"",OFFSET(TH!F$1,SMALL(Dong1,ROWS($1:95)),))</f>
        <v>Thu tiền hàng</v>
      </c>
      <c r="F108" s="124" t="str">
        <f ca="1">IF(ROWS($1:95)&gt;COUNT(Dong1),"",IF(OFFSET(TH!M$1,SMALL(Dong1,ROWS($1:95)),)="1111",OFFSET(TH!L$1,SMALL(Dong1,ROWS($1:95)),),OFFSET(TH!M$1,SMALL(Dong1,ROWS($1:95)),)))</f>
        <v>131</v>
      </c>
      <c r="G108" s="125">
        <f ca="1">IF(ROWS($1:95)&gt;COUNT(Dong1),"",IF(OFFSET(TH!L$1,SMALL(Dong1,ROWS($1:95)),)="1111",OFFSET(TH!K$1,SMALL(Dong1,ROWS($1:95)),),0))</f>
        <v>7554800</v>
      </c>
      <c r="H108" s="123">
        <f ca="1">IF(ROWS($1:95)&gt;COUNT(Dong1),"",IF(OFFSET(TH!M$1,SMALL(Dong1,ROWS($1:95)),)="1111",OFFSET(TH!K$1,SMALL(Dong1,ROWS($1:95)),),0))</f>
        <v>0</v>
      </c>
      <c r="I108" s="121">
        <f t="shared" ca="1" si="3"/>
        <v>1672285031</v>
      </c>
      <c r="J108" s="126"/>
    </row>
    <row r="109" spans="1:10" ht="19.5" customHeight="1">
      <c r="A109" s="120">
        <f ca="1">IF(ROWS($1:96)&gt;COUNT(Dong1),"",OFFSET(TH!C$1,SMALL(Dong1,ROWS($1:96)),))</f>
        <v>41085</v>
      </c>
      <c r="B109" s="120">
        <f ca="1">IF(ROWS($1:96)&gt;COUNT(Dong1),"",OFFSET(TH!E$1,SMALL(Dong1,ROWS($1:96)),))</f>
        <v>41085</v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>C48</v>
      </c>
      <c r="E109" s="224" t="str">
        <f ca="1">IF(ROWS($1:96)&gt;COUNT(Dong1),"",OFFSET(TH!F$1,SMALL(Dong1,ROWS($1:96)),))</f>
        <v>Thanh toán tiền hàng</v>
      </c>
      <c r="F109" s="124" t="str">
        <f ca="1">IF(ROWS($1:96)&gt;COUNT(Dong1),"",IF(OFFSET(TH!M$1,SMALL(Dong1,ROWS($1:96)),)="1111",OFFSET(TH!L$1,SMALL(Dong1,ROWS($1:96)),),OFFSET(TH!M$1,SMALL(Dong1,ROWS($1:96)),)))</f>
        <v>331</v>
      </c>
      <c r="G109" s="125">
        <f ca="1">IF(ROWS($1:96)&gt;COUNT(Dong1),"",IF(OFFSET(TH!L$1,SMALL(Dong1,ROWS($1:96)),)="1111",OFFSET(TH!K$1,SMALL(Dong1,ROWS($1:96)),),0))</f>
        <v>0</v>
      </c>
      <c r="H109" s="123">
        <f ca="1">IF(ROWS($1:96)&gt;COUNT(Dong1),"",IF(OFFSET(TH!M$1,SMALL(Dong1,ROWS($1:96)),)="1111",OFFSET(TH!K$1,SMALL(Dong1,ROWS($1:96)),),0))</f>
        <v>14583729</v>
      </c>
      <c r="I109" s="121">
        <f t="shared" ref="I109" ca="1" si="4">IF(E109&lt;&gt;"",I108+G109-H109,0)</f>
        <v>1657701302</v>
      </c>
      <c r="J109" s="126"/>
    </row>
    <row r="110" spans="1:10" ht="19.5" customHeight="1">
      <c r="A110" s="120">
        <f ca="1">IF(ROWS($1:97)&gt;COUNT(Dong1),"",OFFSET(TH!C$1,SMALL(Dong1,ROWS($1:97)),))</f>
        <v>41086</v>
      </c>
      <c r="B110" s="120">
        <f ca="1">IF(ROWS($1:97)&gt;COUNT(Dong1),"",OFFSET(TH!E$1,SMALL(Dong1,ROWS($1:97)),))</f>
        <v>41086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C49</v>
      </c>
      <c r="E110" s="224" t="str">
        <f ca="1">IF(ROWS($1:97)&gt;COUNT(Dong1),"",OFFSET(TH!F$1,SMALL(Dong1,ROWS($1:97)),))</f>
        <v>Mực in V-FLEX 8600 Blue</v>
      </c>
      <c r="F110" s="124" t="str">
        <f ca="1">IF(ROWS($1:97)&gt;COUNT(Dong1),"",IF(OFFSET(TH!M$1,SMALL(Dong1,ROWS($1:97)),)="1111",OFFSET(TH!L$1,SMALL(Dong1,ROWS($1:97)),),OFFSET(TH!M$1,SMALL(Dong1,ROWS($1:97)),)))</f>
        <v>154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1360000</v>
      </c>
      <c r="I110" s="121">
        <f t="shared" ref="I110:I123" ca="1" si="5">IF(E110&lt;&gt;"",I109+G110-H110,0)</f>
        <v>1656341302</v>
      </c>
      <c r="J110" s="126"/>
    </row>
    <row r="111" spans="1:10" ht="19.5" customHeight="1">
      <c r="A111" s="120">
        <f ca="1">IF(ROWS($1:98)&gt;COUNT(Dong1),"",OFFSET(TH!C$1,SMALL(Dong1,ROWS($1:98)),))</f>
        <v>41086</v>
      </c>
      <c r="B111" s="120">
        <f ca="1">IF(ROWS($1:98)&gt;COUNT(Dong1),"",OFFSET(TH!E$1,SMALL(Dong1,ROWS($1:98)),))</f>
        <v>41086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C49</v>
      </c>
      <c r="E111" s="224" t="str">
        <f ca="1">IF(ROWS($1:98)&gt;COUNT(Dong1),"",OFFSET(TH!F$1,SMALL(Dong1,ROWS($1:98)),))</f>
        <v>VAT Mực in</v>
      </c>
      <c r="F111" s="124" t="str">
        <f ca="1">IF(ROWS($1:98)&gt;COUNT(Dong1),"",IF(OFFSET(TH!M$1,SMALL(Dong1,ROWS($1:98)),)="1111",OFFSET(TH!L$1,SMALL(Dong1,ROWS($1:98)),),OFFSET(TH!M$1,SMALL(Dong1,ROWS($1:98)),)))</f>
        <v>154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136000</v>
      </c>
      <c r="I111" s="121">
        <f t="shared" ca="1" si="5"/>
        <v>1656205302</v>
      </c>
      <c r="J111" s="126"/>
    </row>
    <row r="112" spans="1:10" ht="19.5" customHeight="1">
      <c r="A112" s="120">
        <f ca="1">IF(ROWS($1:99)&gt;COUNT(Dong1),"",OFFSET(TH!C$1,SMALL(Dong1,ROWS($1:99)),))</f>
        <v>41086</v>
      </c>
      <c r="B112" s="120">
        <f ca="1">IF(ROWS($1:99)&gt;COUNT(Dong1),"",OFFSET(TH!E$1,SMALL(Dong1,ROWS($1:99)),))</f>
        <v>41086</v>
      </c>
      <c r="C112" s="121" t="str">
        <f ca="1">IF(ROWS($1:99)&gt;COUNT(Dong1),"",IF(OFFSET(TH!L$1,SMALL(Dong1,ROWS($1:99)),)="1111",OFFSET(TH!D$1,SMALL(Dong1,ROWS($1:99)),),""))</f>
        <v/>
      </c>
      <c r="D112" s="122" t="str">
        <f ca="1">IF(ROWS($1:99)&gt;COUNT(Dong1),"",IF(OFFSET(TH!M$1,SMALL(Dong1,ROWS($1:99)),)="1111",OFFSET(TH!D$1,SMALL(Dong1,ROWS($1:99)),),""))</f>
        <v>C50</v>
      </c>
      <c r="E112" s="224" t="str">
        <f ca="1">IF(ROWS($1:99)&gt;COUNT(Dong1),"",OFFSET(TH!F$1,SMALL(Dong1,ROWS($1:99)),))</f>
        <v>Thanh toán tiền hàng</v>
      </c>
      <c r="F112" s="124" t="str">
        <f ca="1">IF(ROWS($1:99)&gt;COUNT(Dong1),"",IF(OFFSET(TH!M$1,SMALL(Dong1,ROWS($1:99)),)="1111",OFFSET(TH!L$1,SMALL(Dong1,ROWS($1:99)),),OFFSET(TH!M$1,SMALL(Dong1,ROWS($1:99)),)))</f>
        <v>331</v>
      </c>
      <c r="G112" s="125">
        <f ca="1">IF(ROWS($1:99)&gt;COUNT(Dong1),"",IF(OFFSET(TH!L$1,SMALL(Dong1,ROWS($1:99)),)="1111",OFFSET(TH!K$1,SMALL(Dong1,ROWS($1:99)),),0))</f>
        <v>0</v>
      </c>
      <c r="H112" s="123">
        <f ca="1">IF(ROWS($1:99)&gt;COUNT(Dong1),"",IF(OFFSET(TH!M$1,SMALL(Dong1,ROWS($1:99)),)="1111",OFFSET(TH!K$1,SMALL(Dong1,ROWS($1:99)),),0))</f>
        <v>13138268</v>
      </c>
      <c r="I112" s="121">
        <f t="shared" ca="1" si="5"/>
        <v>1643067034</v>
      </c>
      <c r="J112" s="126"/>
    </row>
    <row r="113" spans="1:12" ht="19.5" customHeight="1">
      <c r="A113" s="120">
        <f ca="1">IF(ROWS($1:100)&gt;COUNT(Dong1),"",OFFSET(TH!C$1,SMALL(Dong1,ROWS($1:100)),))</f>
        <v>41086</v>
      </c>
      <c r="B113" s="120">
        <f ca="1">IF(ROWS($1:100)&gt;COUNT(Dong1),"",OFFSET(TH!E$1,SMALL(Dong1,ROWS($1:100)),))</f>
        <v>41086</v>
      </c>
      <c r="C113" s="121" t="str">
        <f ca="1">IF(ROWS($1:100)&gt;COUNT(Dong1),"",IF(OFFSET(TH!L$1,SMALL(Dong1,ROWS($1:100)),)="1111",OFFSET(TH!D$1,SMALL(Dong1,ROWS($1:100)),),""))</f>
        <v>T36</v>
      </c>
      <c r="D113" s="122" t="str">
        <f ca="1">IF(ROWS($1:100)&gt;COUNT(Dong1),"",IF(OFFSET(TH!M$1,SMALL(Dong1,ROWS($1:100)),)="1111",OFFSET(TH!D$1,SMALL(Dong1,ROWS($1:100)),),""))</f>
        <v/>
      </c>
      <c r="E113" s="224" t="str">
        <f ca="1">IF(ROWS($1:100)&gt;COUNT(Dong1),"",OFFSET(TH!F$1,SMALL(Dong1,ROWS($1:100)),))</f>
        <v>Thu tiền hàng</v>
      </c>
      <c r="F113" s="124" t="str">
        <f ca="1">IF(ROWS($1:100)&gt;COUNT(Dong1),"",IF(OFFSET(TH!M$1,SMALL(Dong1,ROWS($1:100)),)="1111",OFFSET(TH!L$1,SMALL(Dong1,ROWS($1:100)),),OFFSET(TH!M$1,SMALL(Dong1,ROWS($1:100)),)))</f>
        <v>131</v>
      </c>
      <c r="G113" s="125">
        <f ca="1">IF(ROWS($1:100)&gt;COUNT(Dong1),"",IF(OFFSET(TH!L$1,SMALL(Dong1,ROWS($1:100)),)="1111",OFFSET(TH!K$1,SMALL(Dong1,ROWS($1:100)),),0))</f>
        <v>18009156</v>
      </c>
      <c r="H113" s="123">
        <f ca="1">IF(ROWS($1:100)&gt;COUNT(Dong1),"",IF(OFFSET(TH!M$1,SMALL(Dong1,ROWS($1:100)),)="1111",OFFSET(TH!K$1,SMALL(Dong1,ROWS($1:100)),),0))</f>
        <v>0</v>
      </c>
      <c r="I113" s="121">
        <f t="shared" ca="1" si="5"/>
        <v>1661076190</v>
      </c>
      <c r="J113" s="126"/>
    </row>
    <row r="114" spans="1:12" ht="19.5" customHeight="1">
      <c r="A114" s="120">
        <f ca="1">IF(ROWS($1:101)&gt;COUNT(Dong1),"",OFFSET(TH!C$1,SMALL(Dong1,ROWS($1:101)),))</f>
        <v>41086</v>
      </c>
      <c r="B114" s="120">
        <f ca="1">IF(ROWS($1:101)&gt;COUNT(Dong1),"",OFFSET(TH!E$1,SMALL(Dong1,ROWS($1:101)),))</f>
        <v>41086</v>
      </c>
      <c r="C114" s="121" t="str">
        <f ca="1">IF(ROWS($1:101)&gt;COUNT(Dong1),"",IF(OFFSET(TH!L$1,SMALL(Dong1,ROWS($1:101)),)="1111",OFFSET(TH!D$1,SMALL(Dong1,ROWS($1:101)),),""))</f>
        <v>T37</v>
      </c>
      <c r="D114" s="122" t="str">
        <f ca="1">IF(ROWS($1:101)&gt;COUNT(Dong1),"",IF(OFFSET(TH!M$1,SMALL(Dong1,ROWS($1:101)),)="1111",OFFSET(TH!D$1,SMALL(Dong1,ROWS($1:101)),),""))</f>
        <v/>
      </c>
      <c r="E114" s="224" t="str">
        <f ca="1">IF(ROWS($1:101)&gt;COUNT(Dong1),"",OFFSET(TH!F$1,SMALL(Dong1,ROWS($1:101)),))</f>
        <v>Thu tiền hàng</v>
      </c>
      <c r="F114" s="124" t="str">
        <f ca="1">IF(ROWS($1:101)&gt;COUNT(Dong1),"",IF(OFFSET(TH!M$1,SMALL(Dong1,ROWS($1:101)),)="1111",OFFSET(TH!L$1,SMALL(Dong1,ROWS($1:101)),),OFFSET(TH!M$1,SMALL(Dong1,ROWS($1:101)),)))</f>
        <v>131</v>
      </c>
      <c r="G114" s="125">
        <f ca="1">IF(ROWS($1:101)&gt;COUNT(Dong1),"",IF(OFFSET(TH!L$1,SMALL(Dong1,ROWS($1:101)),)="1111",OFFSET(TH!K$1,SMALL(Dong1,ROWS($1:101)),),0))</f>
        <v>20297475</v>
      </c>
      <c r="H114" s="123">
        <f ca="1">IF(ROWS($1:101)&gt;COUNT(Dong1),"",IF(OFFSET(TH!M$1,SMALL(Dong1,ROWS($1:101)),)="1111",OFFSET(TH!K$1,SMALL(Dong1,ROWS($1:101)),),0))</f>
        <v>0</v>
      </c>
      <c r="I114" s="121">
        <f t="shared" ca="1" si="5"/>
        <v>1681373665</v>
      </c>
      <c r="J114" s="126"/>
    </row>
    <row r="115" spans="1:12" ht="19.5" customHeight="1">
      <c r="A115" s="120">
        <f ca="1">IF(ROWS($1:102)&gt;COUNT(Dong1),"",OFFSET(TH!C$1,SMALL(Dong1,ROWS($1:102)),))</f>
        <v>41087</v>
      </c>
      <c r="B115" s="120">
        <f ca="1">IF(ROWS($1:102)&gt;COUNT(Dong1),"",OFFSET(TH!E$1,SMALL(Dong1,ROWS($1:102)),))</f>
        <v>41087</v>
      </c>
      <c r="C115" s="121" t="str">
        <f ca="1">IF(ROWS($1:102)&gt;COUNT(Dong1),"",IF(OFFSET(TH!L$1,SMALL(Dong1,ROWS($1:102)),)="1111",OFFSET(TH!D$1,SMALL(Dong1,ROWS($1:102)),),""))</f>
        <v/>
      </c>
      <c r="D115" s="122" t="str">
        <f ca="1">IF(ROWS($1:102)&gt;COUNT(Dong1),"",IF(OFFSET(TH!M$1,SMALL(Dong1,ROWS($1:102)),)="1111",OFFSET(TH!D$1,SMALL(Dong1,ROWS($1:102)),),""))</f>
        <v>C51</v>
      </c>
      <c r="E115" s="224" t="str">
        <f ca="1">IF(ROWS($1:102)&gt;COUNT(Dong1),"",OFFSET(TH!F$1,SMALL(Dong1,ROWS($1:102)),))</f>
        <v>Thanh toán tiền hàng</v>
      </c>
      <c r="F115" s="124" t="str">
        <f ca="1">IF(ROWS($1:102)&gt;COUNT(Dong1),"",IF(OFFSET(TH!M$1,SMALL(Dong1,ROWS($1:102)),)="1111",OFFSET(TH!L$1,SMALL(Dong1,ROWS($1:102)),),OFFSET(TH!M$1,SMALL(Dong1,ROWS($1:102)),)))</f>
        <v>331</v>
      </c>
      <c r="G115" s="125">
        <f ca="1">IF(ROWS($1:102)&gt;COUNT(Dong1),"",IF(OFFSET(TH!L$1,SMALL(Dong1,ROWS($1:102)),)="1111",OFFSET(TH!K$1,SMALL(Dong1,ROWS($1:102)),),0))</f>
        <v>0</v>
      </c>
      <c r="H115" s="123">
        <f ca="1">IF(ROWS($1:102)&gt;COUNT(Dong1),"",IF(OFFSET(TH!M$1,SMALL(Dong1,ROWS($1:102)),)="1111",OFFSET(TH!K$1,SMALL(Dong1,ROWS($1:102)),),0))</f>
        <v>13392500</v>
      </c>
      <c r="I115" s="121">
        <f t="shared" ca="1" si="5"/>
        <v>1667981165</v>
      </c>
      <c r="J115" s="126"/>
    </row>
    <row r="116" spans="1:12" ht="19.5" customHeight="1">
      <c r="A116" s="120">
        <f ca="1">IF(ROWS($1:103)&gt;COUNT(Dong1),"",OFFSET(TH!C$1,SMALL(Dong1,ROWS($1:103)),))</f>
        <v>41088</v>
      </c>
      <c r="B116" s="120">
        <f ca="1">IF(ROWS($1:103)&gt;COUNT(Dong1),"",OFFSET(TH!E$1,SMALL(Dong1,ROWS($1:103)),))</f>
        <v>41088</v>
      </c>
      <c r="C116" s="121" t="str">
        <f ca="1">IF(ROWS($1:103)&gt;COUNT(Dong1),"",IF(OFFSET(TH!L$1,SMALL(Dong1,ROWS($1:103)),)="1111",OFFSET(TH!D$1,SMALL(Dong1,ROWS($1:103)),),""))</f>
        <v/>
      </c>
      <c r="D116" s="122" t="str">
        <f ca="1">IF(ROWS($1:103)&gt;COUNT(Dong1),"",IF(OFFSET(TH!M$1,SMALL(Dong1,ROWS($1:103)),)="1111",OFFSET(TH!D$1,SMALL(Dong1,ROWS($1:103)),),""))</f>
        <v>C52</v>
      </c>
      <c r="E116" s="224" t="str">
        <f ca="1">IF(ROWS($1:103)&gt;COUNT(Dong1),"",OFFSET(TH!F$1,SMALL(Dong1,ROWS($1:103)),))</f>
        <v>Cước dịch vụ viễn thông TPHCM</v>
      </c>
      <c r="F116" s="124" t="str">
        <f ca="1">IF(ROWS($1:103)&gt;COUNT(Dong1),"",IF(OFFSET(TH!M$1,SMALL(Dong1,ROWS($1:103)),)="1111",OFFSET(TH!L$1,SMALL(Dong1,ROWS($1:103)),),OFFSET(TH!M$1,SMALL(Dong1,ROWS($1:103)),)))</f>
        <v>642</v>
      </c>
      <c r="G116" s="125">
        <f ca="1">IF(ROWS($1:103)&gt;COUNT(Dong1),"",IF(OFFSET(TH!L$1,SMALL(Dong1,ROWS($1:103)),)="1111",OFFSET(TH!K$1,SMALL(Dong1,ROWS($1:103)),),0))</f>
        <v>0</v>
      </c>
      <c r="H116" s="123">
        <f ca="1">IF(ROWS($1:103)&gt;COUNT(Dong1),"",IF(OFFSET(TH!M$1,SMALL(Dong1,ROWS($1:103)),)="1111",OFFSET(TH!K$1,SMALL(Dong1,ROWS($1:103)),),0))</f>
        <v>369361</v>
      </c>
      <c r="I116" s="121">
        <f t="shared" ca="1" si="5"/>
        <v>1667611804</v>
      </c>
      <c r="J116" s="126"/>
    </row>
    <row r="117" spans="1:12" ht="19.5" customHeight="1">
      <c r="A117" s="120">
        <f ca="1">IF(ROWS($1:104)&gt;COUNT(Dong1),"",OFFSET(TH!C$1,SMALL(Dong1,ROWS($1:104)),))</f>
        <v>41088</v>
      </c>
      <c r="B117" s="120">
        <f ca="1">IF(ROWS($1:104)&gt;COUNT(Dong1),"",OFFSET(TH!E$1,SMALL(Dong1,ROWS($1:104)),))</f>
        <v>41088</v>
      </c>
      <c r="C117" s="121" t="str">
        <f ca="1">IF(ROWS($1:104)&gt;COUNT(Dong1),"",IF(OFFSET(TH!L$1,SMALL(Dong1,ROWS($1:104)),)="1111",OFFSET(TH!D$1,SMALL(Dong1,ROWS($1:104)),),""))</f>
        <v/>
      </c>
      <c r="D117" s="122" t="str">
        <f ca="1">IF(ROWS($1:104)&gt;COUNT(Dong1),"",IF(OFFSET(TH!M$1,SMALL(Dong1,ROWS($1:104)),)="1111",OFFSET(TH!D$1,SMALL(Dong1,ROWS($1:104)),),""))</f>
        <v>C52</v>
      </c>
      <c r="E117" s="224" t="str">
        <f ca="1">IF(ROWS($1:104)&gt;COUNT(Dong1),"",OFFSET(TH!F$1,SMALL(Dong1,ROWS($1:104)),))</f>
        <v>VAT Cước dịch vụ viễn thông TPHCM</v>
      </c>
      <c r="F117" s="124" t="str">
        <f ca="1">IF(ROWS($1:104)&gt;COUNT(Dong1),"",IF(OFFSET(TH!M$1,SMALL(Dong1,ROWS($1:104)),)="1111",OFFSET(TH!L$1,SMALL(Dong1,ROWS($1:104)),),OFFSET(TH!M$1,SMALL(Dong1,ROWS($1:104)),)))</f>
        <v>642</v>
      </c>
      <c r="G117" s="125">
        <f ca="1">IF(ROWS($1:104)&gt;COUNT(Dong1),"",IF(OFFSET(TH!L$1,SMALL(Dong1,ROWS($1:104)),)="1111",OFFSET(TH!K$1,SMALL(Dong1,ROWS($1:104)),),0))</f>
        <v>0</v>
      </c>
      <c r="H117" s="123">
        <f ca="1">IF(ROWS($1:104)&gt;COUNT(Dong1),"",IF(OFFSET(TH!M$1,SMALL(Dong1,ROWS($1:104)),)="1111",OFFSET(TH!K$1,SMALL(Dong1,ROWS($1:104)),),0))</f>
        <v>36936</v>
      </c>
      <c r="I117" s="121">
        <f t="shared" ca="1" si="5"/>
        <v>1667574868</v>
      </c>
      <c r="J117" s="126"/>
    </row>
    <row r="118" spans="1:12" ht="19.5" customHeight="1">
      <c r="A118" s="120">
        <f ca="1">IF(ROWS($1:105)&gt;COUNT(Dong1),"",OFFSET(TH!C$1,SMALL(Dong1,ROWS($1:105)),))</f>
        <v>41089</v>
      </c>
      <c r="B118" s="120">
        <f ca="1">IF(ROWS($1:105)&gt;COUNT(Dong1),"",OFFSET(TH!E$1,SMALL(Dong1,ROWS($1:105)),))</f>
        <v>41089</v>
      </c>
      <c r="C118" s="121" t="str">
        <f ca="1">IF(ROWS($1:105)&gt;COUNT(Dong1),"",IF(OFFSET(TH!L$1,SMALL(Dong1,ROWS($1:105)),)="1111",OFFSET(TH!D$1,SMALL(Dong1,ROWS($1:105)),),""))</f>
        <v/>
      </c>
      <c r="D118" s="122" t="str">
        <f ca="1">IF(ROWS($1:105)&gt;COUNT(Dong1),"",IF(OFFSET(TH!M$1,SMALL(Dong1,ROWS($1:105)),)="1111",OFFSET(TH!D$1,SMALL(Dong1,ROWS($1:105)),),""))</f>
        <v>C53</v>
      </c>
      <c r="E118" s="224" t="str">
        <f ca="1">IF(ROWS($1:105)&gt;COUNT(Dong1),"",OFFSET(TH!F$1,SMALL(Dong1,ROWS($1:105)),))</f>
        <v>Thanh toán tiền hàng</v>
      </c>
      <c r="F118" s="124" t="str">
        <f ca="1">IF(ROWS($1:105)&gt;COUNT(Dong1),"",IF(OFFSET(TH!M$1,SMALL(Dong1,ROWS($1:105)),)="1111",OFFSET(TH!L$1,SMALL(Dong1,ROWS($1:105)),),OFFSET(TH!M$1,SMALL(Dong1,ROWS($1:105)),)))</f>
        <v>331</v>
      </c>
      <c r="G118" s="125">
        <f ca="1">IF(ROWS($1:105)&gt;COUNT(Dong1),"",IF(OFFSET(TH!L$1,SMALL(Dong1,ROWS($1:105)),)="1111",OFFSET(TH!K$1,SMALL(Dong1,ROWS($1:105)),),0))</f>
        <v>0</v>
      </c>
      <c r="H118" s="123">
        <f ca="1">IF(ROWS($1:105)&gt;COUNT(Dong1),"",IF(OFFSET(TH!M$1,SMALL(Dong1,ROWS($1:105)),)="1111",OFFSET(TH!K$1,SMALL(Dong1,ROWS($1:105)),),0))</f>
        <v>13695040</v>
      </c>
      <c r="I118" s="121">
        <f t="shared" ca="1" si="5"/>
        <v>1653879828</v>
      </c>
      <c r="J118" s="126"/>
    </row>
    <row r="119" spans="1:12" ht="19.5" customHeight="1">
      <c r="A119" s="120">
        <f ca="1">IF(ROWS($1:106)&gt;COUNT(Dong1),"",OFFSET(TH!C$1,SMALL(Dong1,ROWS($1:106)),))</f>
        <v>41089</v>
      </c>
      <c r="B119" s="120">
        <f ca="1">IF(ROWS($1:106)&gt;COUNT(Dong1),"",OFFSET(TH!E$1,SMALL(Dong1,ROWS($1:106)),))</f>
        <v>41089</v>
      </c>
      <c r="C119" s="121" t="str">
        <f ca="1">IF(ROWS($1:106)&gt;COUNT(Dong1),"",IF(OFFSET(TH!L$1,SMALL(Dong1,ROWS($1:106)),)="1111",OFFSET(TH!D$1,SMALL(Dong1,ROWS($1:106)),),""))</f>
        <v/>
      </c>
      <c r="D119" s="122" t="str">
        <f ca="1">IF(ROWS($1:106)&gt;COUNT(Dong1),"",IF(OFFSET(TH!M$1,SMALL(Dong1,ROWS($1:106)),)="1111",OFFSET(TH!D$1,SMALL(Dong1,ROWS($1:106)),),""))</f>
        <v>C54</v>
      </c>
      <c r="E119" s="224" t="str">
        <f ca="1">IF(ROWS($1:106)&gt;COUNT(Dong1),"",OFFSET(TH!F$1,SMALL(Dong1,ROWS($1:106)),))</f>
        <v>Thép 14</v>
      </c>
      <c r="F119" s="124" t="str">
        <f ca="1">IF(ROWS($1:106)&gt;COUNT(Dong1),"",IF(OFFSET(TH!M$1,SMALL(Dong1,ROWS($1:106)),)="1111",OFFSET(TH!L$1,SMALL(Dong1,ROWS($1:106)),),OFFSET(TH!M$1,SMALL(Dong1,ROWS($1:106)),)))</f>
        <v>642</v>
      </c>
      <c r="G119" s="125">
        <f ca="1">IF(ROWS($1:106)&gt;COUNT(Dong1),"",IF(OFFSET(TH!L$1,SMALL(Dong1,ROWS($1:106)),)="1111",OFFSET(TH!K$1,SMALL(Dong1,ROWS($1:106)),),0))</f>
        <v>0</v>
      </c>
      <c r="H119" s="123">
        <f ca="1">IF(ROWS($1:106)&gt;COUNT(Dong1),"",IF(OFFSET(TH!M$1,SMALL(Dong1,ROWS($1:106)),)="1111",OFFSET(TH!K$1,SMALL(Dong1,ROWS($1:106)),),0))</f>
        <v>9611160</v>
      </c>
      <c r="I119" s="121">
        <f t="shared" ca="1" si="5"/>
        <v>1644268668</v>
      </c>
      <c r="J119" s="126"/>
    </row>
    <row r="120" spans="1:12" ht="19.5" customHeight="1">
      <c r="A120" s="120">
        <f ca="1">IF(ROWS($1:107)&gt;COUNT(Dong1),"",OFFSET(TH!C$1,SMALL(Dong1,ROWS($1:107)),))</f>
        <v>41089</v>
      </c>
      <c r="B120" s="120">
        <f ca="1">IF(ROWS($1:107)&gt;COUNT(Dong1),"",OFFSET(TH!E$1,SMALL(Dong1,ROWS($1:107)),))</f>
        <v>41089</v>
      </c>
      <c r="C120" s="121" t="str">
        <f ca="1">IF(ROWS($1:107)&gt;COUNT(Dong1),"",IF(OFFSET(TH!L$1,SMALL(Dong1,ROWS($1:107)),)="1111",OFFSET(TH!D$1,SMALL(Dong1,ROWS($1:107)),),""))</f>
        <v/>
      </c>
      <c r="D120" s="122" t="str">
        <f ca="1">IF(ROWS($1:107)&gt;COUNT(Dong1),"",IF(OFFSET(TH!M$1,SMALL(Dong1,ROWS($1:107)),)="1111",OFFSET(TH!D$1,SMALL(Dong1,ROWS($1:107)),),""))</f>
        <v>C54</v>
      </c>
      <c r="E120" s="224" t="str">
        <f ca="1">IF(ROWS($1:107)&gt;COUNT(Dong1),"",OFFSET(TH!F$1,SMALL(Dong1,ROWS($1:107)),))</f>
        <v>VAT Thép 14</v>
      </c>
      <c r="F120" s="124" t="str">
        <f ca="1">IF(ROWS($1:107)&gt;COUNT(Dong1),"",IF(OFFSET(TH!M$1,SMALL(Dong1,ROWS($1:107)),)="1111",OFFSET(TH!L$1,SMALL(Dong1,ROWS($1:107)),),OFFSET(TH!M$1,SMALL(Dong1,ROWS($1:107)),)))</f>
        <v>1331</v>
      </c>
      <c r="G120" s="125">
        <f ca="1">IF(ROWS($1:107)&gt;COUNT(Dong1),"",IF(OFFSET(TH!L$1,SMALL(Dong1,ROWS($1:107)),)="1111",OFFSET(TH!K$1,SMALL(Dong1,ROWS($1:107)),),0))</f>
        <v>0</v>
      </c>
      <c r="H120" s="123">
        <f ca="1">IF(ROWS($1:107)&gt;COUNT(Dong1),"",IF(OFFSET(TH!M$1,SMALL(Dong1,ROWS($1:107)),)="1111",OFFSET(TH!K$1,SMALL(Dong1,ROWS($1:107)),),0))</f>
        <v>961116</v>
      </c>
      <c r="I120" s="121">
        <f t="shared" ca="1" si="5"/>
        <v>1643307552</v>
      </c>
      <c r="J120" s="126"/>
    </row>
    <row r="121" spans="1:12" ht="19.5" customHeight="1">
      <c r="A121" s="120">
        <f ca="1">IF(ROWS($1:108)&gt;COUNT(Dong1),"",OFFSET(TH!C$1,SMALL(Dong1,ROWS($1:108)),))</f>
        <v>41090</v>
      </c>
      <c r="B121" s="120">
        <f ca="1">IF(ROWS($1:108)&gt;COUNT(Dong1),"",OFFSET(TH!E$1,SMALL(Dong1,ROWS($1:108)),))</f>
        <v>41090</v>
      </c>
      <c r="C121" s="121" t="str">
        <f ca="1">IF(ROWS($1:108)&gt;COUNT(Dong1),"",IF(OFFSET(TH!L$1,SMALL(Dong1,ROWS($1:108)),)="1111",OFFSET(TH!D$1,SMALL(Dong1,ROWS($1:108)),),""))</f>
        <v/>
      </c>
      <c r="D121" s="122" t="str">
        <f ca="1">IF(ROWS($1:108)&gt;COUNT(Dong1),"",IF(OFFSET(TH!M$1,SMALL(Dong1,ROWS($1:108)),)="1111",OFFSET(TH!D$1,SMALL(Dong1,ROWS($1:108)),),""))</f>
        <v>C55</v>
      </c>
      <c r="E121" s="224" t="str">
        <f ca="1">IF(ROWS($1:108)&gt;COUNT(Dong1),"",OFFSET(TH!F$1,SMALL(Dong1,ROWS($1:108)),))</f>
        <v>Thanh toán tiền lương tháng 6/2012</v>
      </c>
      <c r="F121" s="124" t="str">
        <f ca="1">IF(ROWS($1:108)&gt;COUNT(Dong1),"",IF(OFFSET(TH!M$1,SMALL(Dong1,ROWS($1:108)),)="1111",OFFSET(TH!L$1,SMALL(Dong1,ROWS($1:108)),),OFFSET(TH!M$1,SMALL(Dong1,ROWS($1:108)),)))</f>
        <v>3341</v>
      </c>
      <c r="G121" s="125">
        <f ca="1">IF(ROWS($1:108)&gt;COUNT(Dong1),"",IF(OFFSET(TH!L$1,SMALL(Dong1,ROWS($1:108)),)="1111",OFFSET(TH!K$1,SMALL(Dong1,ROWS($1:108)),),0))</f>
        <v>0</v>
      </c>
      <c r="H121" s="123">
        <f ca="1">IF(ROWS($1:108)&gt;COUNT(Dong1),"",IF(OFFSET(TH!M$1,SMALL(Dong1,ROWS($1:108)),)="1111",OFFSET(TH!K$1,SMALL(Dong1,ROWS($1:108)),),0))</f>
        <v>22775000</v>
      </c>
      <c r="I121" s="121">
        <f t="shared" ca="1" si="5"/>
        <v>1620532552</v>
      </c>
      <c r="J121" s="126"/>
    </row>
    <row r="122" spans="1:12" ht="19.5" customHeight="1">
      <c r="A122" s="120">
        <f ca="1">IF(ROWS($1:109)&gt;COUNT(Dong1),"",OFFSET(TH!C$1,SMALL(Dong1,ROWS($1:109)),))</f>
        <v>41090</v>
      </c>
      <c r="B122" s="120">
        <f ca="1">IF(ROWS($1:109)&gt;COUNT(Dong1),"",OFFSET(TH!E$1,SMALL(Dong1,ROWS($1:109)),))</f>
        <v>41090</v>
      </c>
      <c r="C122" s="121" t="str">
        <f ca="1">IF(ROWS($1:109)&gt;COUNT(Dong1),"",IF(OFFSET(TH!L$1,SMALL(Dong1,ROWS($1:109)),)="1111",OFFSET(TH!D$1,SMALL(Dong1,ROWS($1:109)),),""))</f>
        <v/>
      </c>
      <c r="D122" s="122" t="str">
        <f ca="1">IF(ROWS($1:109)&gt;COUNT(Dong1),"",IF(OFFSET(TH!M$1,SMALL(Dong1,ROWS($1:109)),)="1111",OFFSET(TH!D$1,SMALL(Dong1,ROWS($1:109)),),""))</f>
        <v>C56</v>
      </c>
      <c r="E122" s="224" t="str">
        <f ca="1">IF(ROWS($1:109)&gt;COUNT(Dong1),"",OFFSET(TH!F$1,SMALL(Dong1,ROWS($1:109)),))</f>
        <v>Nộp tiền mặt vào tài khoản</v>
      </c>
      <c r="F122" s="124" t="str">
        <f ca="1">IF(ROWS($1:109)&gt;COUNT(Dong1),"",IF(OFFSET(TH!M$1,SMALL(Dong1,ROWS($1:109)),)="1111",OFFSET(TH!L$1,SMALL(Dong1,ROWS($1:109)),),OFFSET(TH!M$1,SMALL(Dong1,ROWS($1:109)),)))</f>
        <v>1121</v>
      </c>
      <c r="G122" s="125">
        <f ca="1">IF(ROWS($1:109)&gt;COUNT(Dong1),"",IF(OFFSET(TH!L$1,SMALL(Dong1,ROWS($1:109)),)="1111",OFFSET(TH!K$1,SMALL(Dong1,ROWS($1:109)),),0))</f>
        <v>0</v>
      </c>
      <c r="H122" s="123">
        <f ca="1">IF(ROWS($1:109)&gt;COUNT(Dong1),"",IF(OFFSET(TH!M$1,SMALL(Dong1,ROWS($1:109)),)="1111",OFFSET(TH!K$1,SMALL(Dong1,ROWS($1:109)),),0))</f>
        <v>9000000</v>
      </c>
      <c r="I122" s="121">
        <f t="shared" ca="1" si="5"/>
        <v>1611532552</v>
      </c>
      <c r="J122" s="126"/>
    </row>
    <row r="123" spans="1:12" ht="19.5" customHeight="1">
      <c r="A123" s="120">
        <f ca="1">IF(ROWS($1:110)&gt;COUNT(Dong1),"",OFFSET(TH!C$1,SMALL(Dong1,ROWS($1:110)),))</f>
        <v>41090</v>
      </c>
      <c r="B123" s="120">
        <f ca="1">IF(ROWS($1:110)&gt;COUNT(Dong1),"",OFFSET(TH!E$1,SMALL(Dong1,ROWS($1:110)),))</f>
        <v>41090</v>
      </c>
      <c r="C123" s="121" t="str">
        <f ca="1">IF(ROWS($1:110)&gt;COUNT(Dong1),"",IF(OFFSET(TH!L$1,SMALL(Dong1,ROWS($1:110)),)="1111",OFFSET(TH!D$1,SMALL(Dong1,ROWS($1:110)),),""))</f>
        <v/>
      </c>
      <c r="D123" s="122" t="str">
        <f ca="1">IF(ROWS($1:110)&gt;COUNT(Dong1),"",IF(OFFSET(TH!M$1,SMALL(Dong1,ROWS($1:110)),)="1111",OFFSET(TH!D$1,SMALL(Dong1,ROWS($1:110)),),""))</f>
        <v>C57</v>
      </c>
      <c r="E123" s="224" t="str">
        <f ca="1">IF(ROWS($1:110)&gt;COUNT(Dong1),"",OFFSET(TH!F$1,SMALL(Dong1,ROWS($1:110)),))</f>
        <v>Thanh toán tiền hàng</v>
      </c>
      <c r="F123" s="124" t="str">
        <f ca="1">IF(ROWS($1:110)&gt;COUNT(Dong1),"",IF(OFFSET(TH!M$1,SMALL(Dong1,ROWS($1:110)),)="1111",OFFSET(TH!L$1,SMALL(Dong1,ROWS($1:110)),),OFFSET(TH!M$1,SMALL(Dong1,ROWS($1:110)),)))</f>
        <v>331</v>
      </c>
      <c r="G123" s="125">
        <f ca="1">IF(ROWS($1:110)&gt;COUNT(Dong1),"",IF(OFFSET(TH!L$1,SMALL(Dong1,ROWS($1:110)),)="1111",OFFSET(TH!K$1,SMALL(Dong1,ROWS($1:110)),),0))</f>
        <v>0</v>
      </c>
      <c r="H123" s="123">
        <f ca="1">IF(ROWS($1:110)&gt;COUNT(Dong1),"",IF(OFFSET(TH!M$1,SMALL(Dong1,ROWS($1:110)),)="1111",OFFSET(TH!K$1,SMALL(Dong1,ROWS($1:110)),),0))</f>
        <v>18468032</v>
      </c>
      <c r="I123" s="121">
        <f t="shared" ca="1" si="5"/>
        <v>1593064520</v>
      </c>
      <c r="J123" s="126"/>
    </row>
    <row r="124" spans="1:12" ht="19.5" customHeight="1">
      <c r="A124" s="120" t="str">
        <f ca="1">IF(ROWS($1:111)&gt;COUNT(Dong1),"",OFFSET(TH!C$1,SMALL(Dong1,ROWS($1:111)),))</f>
        <v/>
      </c>
      <c r="B124" s="120" t="str">
        <f ca="1">IF(ROWS($1:111)&gt;COUNT(Dong1),"",OFFSET(TH!E$1,SMALL(Dong1,ROWS($1:111)),))</f>
        <v/>
      </c>
      <c r="C124" s="121" t="str">
        <f ca="1">IF(ROWS($1:111)&gt;COUNT(Dong1),"",IF(OFFSET(TH!L$1,SMALL(Dong1,ROWS($1:111)),)="1111",OFFSET(TH!D$1,SMALL(Dong1,ROWS($1:111)),),""))</f>
        <v/>
      </c>
      <c r="D124" s="122" t="str">
        <f ca="1">IF(ROWS($1:111)&gt;COUNT(Dong1),"",IF(OFFSET(TH!M$1,SMALL(Dong1,ROWS($1:111)),)="1111",OFFSET(TH!D$1,SMALL(Dong1,ROWS($1:111)),),""))</f>
        <v/>
      </c>
      <c r="E124" s="224" t="str">
        <f ca="1">IF(ROWS($1:111)&gt;COUNT(Dong1),"",OFFSET(TH!F$1,SMALL(Dong1,ROWS($1:111)),))</f>
        <v/>
      </c>
      <c r="F124" s="124" t="str">
        <f ca="1">IF(ROWS($1:111)&gt;COUNT(Dong1),"",IF(OFFSET(TH!M$1,SMALL(Dong1,ROWS($1:111)),)="1111",OFFSET(TH!L$1,SMALL(Dong1,ROWS($1:111)),),OFFSET(TH!M$1,SMALL(Dong1,ROWS($1:111)),)))</f>
        <v/>
      </c>
      <c r="G124" s="125" t="str">
        <f ca="1">IF(ROWS($1:111)&gt;COUNT(Dong1),"",IF(OFFSET(TH!L$1,SMALL(Dong1,ROWS($1:111)),)="1111",OFFSET(TH!K$1,SMALL(Dong1,ROWS($1:111)),),0))</f>
        <v/>
      </c>
      <c r="H124" s="123" t="str">
        <f ca="1">IF(ROWS($1:111)&gt;COUNT(Dong1),"",IF(OFFSET(TH!M$1,SMALL(Dong1,ROWS($1:111)),)="1111",OFFSET(TH!K$1,SMALL(Dong1,ROWS($1:111)),),0))</f>
        <v/>
      </c>
      <c r="I124" s="121">
        <f t="shared" ref="I124" ca="1" si="6">IF(E124&lt;&gt;"",I123+G124-H124,0)</f>
        <v>0</v>
      </c>
      <c r="J124" s="126"/>
    </row>
    <row r="125" spans="1:12" s="116" customFormat="1" ht="19.5" customHeight="1">
      <c r="A125" s="127"/>
      <c r="B125" s="127"/>
      <c r="C125" s="127"/>
      <c r="D125" s="127"/>
      <c r="E125" s="127" t="s">
        <v>135</v>
      </c>
      <c r="F125" s="128" t="s">
        <v>19</v>
      </c>
      <c r="G125" s="127">
        <f ca="1">SUM(G14:G124)</f>
        <v>431241068</v>
      </c>
      <c r="H125" s="127">
        <f ca="1">SUM(H14:H124)</f>
        <v>702668666</v>
      </c>
      <c r="I125" s="128" t="s">
        <v>19</v>
      </c>
      <c r="J125" s="128" t="s">
        <v>19</v>
      </c>
    </row>
    <row r="126" spans="1:12" s="116" customFormat="1" ht="19.5" customHeight="1">
      <c r="A126" s="129"/>
      <c r="B126" s="129"/>
      <c r="C126" s="129"/>
      <c r="D126" s="129"/>
      <c r="E126" s="129" t="s">
        <v>136</v>
      </c>
      <c r="F126" s="130" t="s">
        <v>19</v>
      </c>
      <c r="G126" s="130" t="s">
        <v>19</v>
      </c>
      <c r="H126" s="130" t="s">
        <v>19</v>
      </c>
      <c r="I126" s="131">
        <f ca="1">I13+G125-H125</f>
        <v>1593064520</v>
      </c>
      <c r="J126" s="130" t="s">
        <v>19</v>
      </c>
    </row>
    <row r="127" spans="1:12">
      <c r="L127" s="248" t="s">
        <v>164</v>
      </c>
    </row>
    <row r="128" spans="1:12">
      <c r="A128" s="132" t="s">
        <v>160</v>
      </c>
      <c r="L128" s="248" t="s">
        <v>165</v>
      </c>
    </row>
    <row r="129" spans="1:12">
      <c r="A129" s="180" t="str">
        <f ca="1">"- Ngày mở sổ: "&amp;DAY($A$14)&amp;"/"&amp;MONTH($A$14)&amp;"/ " &amp;YEAR($A$14)</f>
        <v>- Ngày mở sổ: 1/4/ 2012</v>
      </c>
      <c r="L129" s="248" t="s">
        <v>137</v>
      </c>
    </row>
    <row r="130" spans="1:12">
      <c r="I130" s="190" t="str">
        <f>"Ngày "&amp;IF(OR($L$11=4,$L$11=6,$L$11=9,$L$11=11),"30",IF($L$11=2,"28","31"))&amp;" tháng "&amp;$L$11&amp;"  năm  2016 "</f>
        <v xml:space="preserve">Ngày 31 tháng Quý II  năm  2016 </v>
      </c>
      <c r="L130" s="248" t="s">
        <v>160</v>
      </c>
    </row>
    <row r="131" spans="1:12" s="133" customFormat="1" ht="14.25">
      <c r="C131" s="133" t="s">
        <v>11</v>
      </c>
      <c r="E131" s="133" t="s">
        <v>12</v>
      </c>
      <c r="I131" s="133" t="s">
        <v>110</v>
      </c>
    </row>
    <row r="132" spans="1:12" s="134" customFormat="1">
      <c r="C132" s="134" t="s">
        <v>13</v>
      </c>
      <c r="E132" s="134" t="s">
        <v>13</v>
      </c>
      <c r="I132" s="134" t="s">
        <v>138</v>
      </c>
    </row>
    <row r="133" spans="1:12" s="134" customFormat="1"/>
    <row r="134" spans="1:12" s="134" customFormat="1"/>
    <row r="135" spans="1:12" s="134" customFormat="1"/>
    <row r="136" spans="1:12" s="134" customFormat="1"/>
    <row r="139" spans="1:12" ht="15.75">
      <c r="C139" s="222" t="s">
        <v>158</v>
      </c>
      <c r="I139" s="223" t="s">
        <v>104</v>
      </c>
    </row>
    <row r="140" spans="1:12">
      <c r="E140" s="111">
        <f ca="1">SUMIF($D$14:$D$36,#REF!,H14:H36)</f>
        <v>0</v>
      </c>
    </row>
    <row r="143" spans="1:12">
      <c r="A143" s="111">
        <v>2</v>
      </c>
      <c r="B143" s="111">
        <v>3</v>
      </c>
      <c r="C143" s="111">
        <v>4</v>
      </c>
      <c r="D143" s="111">
        <v>5</v>
      </c>
      <c r="E143" s="111">
        <v>6</v>
      </c>
      <c r="F143" s="111">
        <v>9</v>
      </c>
      <c r="G143" s="111">
        <v>10</v>
      </c>
      <c r="H143" s="111">
        <v>11</v>
      </c>
      <c r="I143" s="111">
        <v>12</v>
      </c>
      <c r="J143" s="111">
        <v>13</v>
      </c>
    </row>
  </sheetData>
  <autoFilter ref="A12:J12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W5" sqref="W5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2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3"/>
      <c r="R4" s="81"/>
      <c r="S4" s="630">
        <v>4</v>
      </c>
      <c r="T4" s="81"/>
      <c r="U4" s="494" t="s">
        <v>4</v>
      </c>
      <c r="V4" s="107"/>
      <c r="W4" s="495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2012</v>
      </c>
      <c r="J5" s="77"/>
      <c r="K5" s="79"/>
      <c r="M5" s="79"/>
      <c r="N5" s="79"/>
      <c r="O5" s="79"/>
      <c r="P5" s="80"/>
      <c r="Q5" s="49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1121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Nộp tiền mặt vào tài khoản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5000000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Năm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4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5"/>
      <c r="G1" s="227" t="s">
        <v>161</v>
      </c>
      <c r="H1" s="608"/>
      <c r="I1" s="225"/>
      <c r="K1" s="141"/>
      <c r="L1" s="141"/>
    </row>
    <row r="2" spans="1:20" s="138" customFormat="1" ht="16.5" customHeight="1">
      <c r="A2" s="229" t="str">
        <f>TH!A2</f>
        <v>Địa chỉ: 1A227/1 Ấp 1, Phạm Văn Hai, Bình Chánh, TPHCM</v>
      </c>
      <c r="B2" s="177"/>
      <c r="C2" s="177"/>
      <c r="D2" s="177"/>
      <c r="F2" s="226"/>
      <c r="G2" s="228" t="s">
        <v>162</v>
      </c>
      <c r="H2" s="609"/>
      <c r="I2" s="226"/>
      <c r="K2" s="142"/>
      <c r="L2" s="142"/>
    </row>
    <row r="3" spans="1:20" s="138" customFormat="1" ht="16.5" customHeight="1">
      <c r="A3" s="177"/>
      <c r="B3" s="177"/>
      <c r="C3" s="177"/>
      <c r="D3" s="177"/>
      <c r="F3" s="226"/>
      <c r="G3" s="228" t="s">
        <v>163</v>
      </c>
      <c r="H3" s="609"/>
      <c r="I3" s="226"/>
    </row>
    <row r="4" spans="1:20" s="138" customFormat="1" ht="19.5" customHeight="1">
      <c r="A4" s="998" t="s">
        <v>139</v>
      </c>
      <c r="B4" s="998"/>
      <c r="C4" s="998"/>
      <c r="D4" s="998"/>
      <c r="E4" s="998"/>
      <c r="F4" s="998"/>
      <c r="G4" s="998"/>
      <c r="H4" s="998"/>
      <c r="I4" s="998"/>
    </row>
    <row r="5" spans="1:20" s="138" customFormat="1" ht="15">
      <c r="A5" s="988" t="str">
        <f>"Nơi mở tài khoản giao dịch:  "&amp;IF($M$9="ACB"," Ngân Hàng ACB"," Ngân Hàng Eximbank - Chi Nhánh Chợ Lớn")</f>
        <v>Nơi mở tài khoản giao dịch:   Ngân Hàng ACB</v>
      </c>
      <c r="B5" s="988"/>
      <c r="C5" s="988"/>
      <c r="D5" s="988"/>
      <c r="E5" s="988"/>
      <c r="F5" s="988"/>
      <c r="G5" s="988"/>
      <c r="H5" s="988"/>
      <c r="I5" s="988"/>
    </row>
    <row r="6" spans="1:20" s="138" customFormat="1" ht="15">
      <c r="D6" s="257" t="s">
        <v>168</v>
      </c>
      <c r="E6" s="988" t="str">
        <f>IF($M$9="ACB","100983119","1004 148 5104 6511")</f>
        <v>100983119</v>
      </c>
      <c r="F6" s="988"/>
      <c r="G6" s="988"/>
      <c r="H6" s="610" t="s">
        <v>109</v>
      </c>
      <c r="I6" s="258" t="str">
        <f>IF(H6="VNĐ","1121",IF(H6="USD","1122",""))</f>
        <v>1121</v>
      </c>
      <c r="N6" s="981" t="s">
        <v>360</v>
      </c>
      <c r="O6" s="981"/>
      <c r="Q6" s="996" t="s">
        <v>295</v>
      </c>
      <c r="R6" s="996" t="s">
        <v>361</v>
      </c>
      <c r="S6" s="996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11"/>
      <c r="I7" s="144"/>
      <c r="Q7" s="997"/>
      <c r="R7" s="997"/>
      <c r="S7" s="997"/>
    </row>
    <row r="8" spans="1:20" s="145" customFormat="1" ht="22.5" customHeight="1" thickBot="1">
      <c r="A8" s="989" t="s">
        <v>140</v>
      </c>
      <c r="B8" s="991" t="s">
        <v>1</v>
      </c>
      <c r="C8" s="992"/>
      <c r="D8" s="986" t="s">
        <v>0</v>
      </c>
      <c r="E8" s="993" t="s">
        <v>14</v>
      </c>
      <c r="F8" s="995" t="s">
        <v>141</v>
      </c>
      <c r="G8" s="995"/>
      <c r="H8" s="992"/>
      <c r="I8" s="986" t="s">
        <v>129</v>
      </c>
      <c r="K8" s="136"/>
      <c r="L8" s="138"/>
      <c r="N8" s="618">
        <f>IF(K9="Quý I",1,IF(K9="Quý II",4,IF(K9="Quý III",7,IF(K9="Quý IV",10,""))))</f>
        <v>10</v>
      </c>
      <c r="O8" s="619">
        <f>IF(K9="Quý I",3,IF(K9="Quý II",6,IF(K9="Quý III",9,IF(K9="Quý IV",12,""))))</f>
        <v>12</v>
      </c>
      <c r="Q8" s="472" t="s">
        <v>296</v>
      </c>
      <c r="R8" s="473">
        <v>20452439</v>
      </c>
      <c r="S8" s="473"/>
      <c r="T8" s="474">
        <f>SUM(R8:S8)</f>
        <v>20452439</v>
      </c>
    </row>
    <row r="9" spans="1:20" s="145" customFormat="1" ht="22.5" customHeight="1" thickBot="1">
      <c r="A9" s="990"/>
      <c r="B9" s="146" t="s">
        <v>15</v>
      </c>
      <c r="C9" s="147" t="s">
        <v>142</v>
      </c>
      <c r="D9" s="987"/>
      <c r="E9" s="994"/>
      <c r="F9" s="249" t="s">
        <v>143</v>
      </c>
      <c r="G9" s="148" t="s">
        <v>144</v>
      </c>
      <c r="H9" s="612" t="s">
        <v>145</v>
      </c>
      <c r="I9" s="987"/>
      <c r="K9" s="178" t="s">
        <v>556</v>
      </c>
      <c r="L9" s="138"/>
      <c r="M9" s="471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8"/>
      <c r="G11" s="478"/>
      <c r="H11" s="478">
        <f>IF($M$9="ACB",$R$8,$S$8)+SUMIF(_N112,"x",TH)-SUMIF(_C112,"x",TH)</f>
        <v>169871</v>
      </c>
      <c r="I11" s="475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30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0">
        <f ca="1">IF(A12&lt;&gt;"",H11+F12-G12,0)</f>
        <v>5169871</v>
      </c>
      <c r="I12" s="476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30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20">
        <f t="shared" ref="H13:H40" ca="1" si="0">IF(A13&lt;&gt;"",H12+F13-G13,0)</f>
        <v>169871</v>
      </c>
      <c r="I13" s="476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30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20">
        <f t="shared" ca="1" si="0"/>
        <v>149871</v>
      </c>
      <c r="I14" s="476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30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20">
        <f t="shared" ca="1" si="0"/>
        <v>139871</v>
      </c>
      <c r="I15" s="476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30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0">
        <f t="shared" ca="1" si="0"/>
        <v>12417631</v>
      </c>
      <c r="I16" s="476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30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0">
        <f t="shared" ca="1" si="0"/>
        <v>60417631</v>
      </c>
      <c r="I17" s="476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30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0">
        <f t="shared" ca="1" si="0"/>
        <v>68165371</v>
      </c>
      <c r="I18" s="476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30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20">
        <f t="shared" ca="1" si="0"/>
        <v>18165371</v>
      </c>
      <c r="I19" s="476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30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20">
        <f t="shared" ca="1" si="0"/>
        <v>18140371</v>
      </c>
      <c r="I20" s="476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30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20">
        <f t="shared" ca="1" si="0"/>
        <v>8140371</v>
      </c>
      <c r="I21" s="476"/>
      <c r="L21" s="138"/>
      <c r="Q21" s="474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30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20">
        <f t="shared" ca="1" si="0"/>
        <v>8120371</v>
      </c>
      <c r="I22" s="476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30" t="str">
        <f ca="1">IF(ROWS($1:12)&gt;COUNT(Dong2),"",OFFSET(TH!F$1,SMALL(Dong2,ROWS($1:12)),))</f>
        <v>Phí kiểm đếm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20">
        <f t="shared" ca="1" si="0"/>
        <v>8106082</v>
      </c>
      <c r="I23" s="476"/>
      <c r="L23" s="138"/>
      <c r="Q23" s="607"/>
    </row>
    <row r="24" spans="1:17" s="145" customFormat="1" ht="18" customHeight="1">
      <c r="A24" s="156">
        <f ca="1">IF(ROWS($1:13)&gt;COUNT(Dong2),"",OFFSET(TH!C$1,SMALL(Dong2,ROWS($1:13)),))</f>
        <v>41197</v>
      </c>
      <c r="B24" s="156" t="str">
        <f ca="1">IF(ROWS($1:13)&gt;COUNT(Dong2),"",OFFSET(TH!D$1,SMALL(Dong2,ROWS($1:13)),))</f>
        <v>T02</v>
      </c>
      <c r="C24" s="156">
        <f ca="1">IF(ROWS($1:13)&gt;COUNT(Dong2),"",OFFSET(TH!E$1,SMALL(Dong2,ROWS($1:13)),))</f>
        <v>41197</v>
      </c>
      <c r="D24" s="230" t="str">
        <f ca="1">IF(ROWS($1:13)&gt;COUNT(Dong2),"",OFFSET(TH!F$1,SMALL(Dong2,ROWS($1:13)),))</f>
        <v>Chi Sec nhập quỹ tiền mặt</v>
      </c>
      <c r="E24" s="156" t="str">
        <f ca="1">IF(ROWS($1:13)&gt;COUNT(Dong2),"",IF(OFFSET(TH!M$1,SMALL(Dong2,ROWS($1:13)),)=$I$6,OFFSET(TH!L$1,SMALL(Dong2,ROWS($1:13)),),OFFSET(TH!M$1,SMALL(Dong2,ROWS($1:13)),)))</f>
        <v>1111</v>
      </c>
      <c r="F24" s="47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20">
        <f t="shared" ca="1" si="0"/>
        <v>106082</v>
      </c>
      <c r="I24" s="476"/>
      <c r="L24" s="138"/>
    </row>
    <row r="25" spans="1:17" s="145" customFormat="1" ht="18" customHeight="1">
      <c r="A25" s="156">
        <f ca="1">IF(ROWS($1:14)&gt;COUNT(Dong2),"",OFFSET(TH!C$1,SMALL(Dong2,ROWS($1:14)),))</f>
        <v>41199</v>
      </c>
      <c r="B25" s="156" t="str">
        <f ca="1">IF(ROWS($1:14)&gt;COUNT(Dong2),"",OFFSET(TH!D$1,SMALL(Dong2,ROWS($1:14)),))</f>
        <v>C04</v>
      </c>
      <c r="C25" s="156">
        <f ca="1">IF(ROWS($1:14)&gt;COUNT(Dong2),"",OFFSET(TH!E$1,SMALL(Dong2,ROWS($1:14)),))</f>
        <v>41199</v>
      </c>
      <c r="D25" s="230" t="str">
        <f ca="1">IF(ROWS($1:14)&gt;COUNT(Dong2),"",OFFSET(TH!F$1,SMALL(Dong2,ROWS($1:14)),))</f>
        <v>Nộp tiền mặt vào tài khoản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7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0">
        <f t="shared" ca="1" si="0"/>
        <v>55106082</v>
      </c>
      <c r="I25" s="476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41199</v>
      </c>
      <c r="D26" s="230" t="str">
        <f ca="1">IF(ROWS($1:15)&gt;COUNT(Dong2),"",OFFSET(TH!F$1,SMALL(Dong2,ROWS($1:15)),))</f>
        <v>Thanh toán tiền hàng</v>
      </c>
      <c r="E26" s="156" t="str">
        <f ca="1">IF(ROWS($1:15)&gt;COUNT(Dong2),"",IF(OFFSET(TH!M$1,SMALL(Dong2,ROWS($1:15)),)=$I$6,OFFSET(TH!L$1,SMALL(Dong2,ROWS($1:15)),),OFFSET(TH!M$1,SMALL(Dong2,ROWS($1:15)),)))</f>
        <v>331</v>
      </c>
      <c r="F26" s="47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20">
        <f t="shared" ca="1" si="0"/>
        <v>5106082</v>
      </c>
      <c r="I26" s="476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30" t="str">
        <f ca="1">IF(ROWS($1:16)&gt;COUNT(Dong2),"",OFFSET(TH!F$1,SMALL(Dong2,ROWS($1:16)),))</f>
        <v>Phí chuyển tiền</v>
      </c>
      <c r="E27" s="156" t="str">
        <f ca="1">IF(ROWS($1:16)&gt;COUNT(Dong2),"",IF(OFFSET(TH!M$1,SMALL(Dong2,ROWS($1:16)),)=$I$6,OFFSET(TH!L$1,SMALL(Dong2,ROWS($1:16)),),OFFSET(TH!M$1,SMALL(Dong2,ROWS($1:16)),)))</f>
        <v>642</v>
      </c>
      <c r="F27" s="47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20">
        <f t="shared" ca="1" si="0"/>
        <v>5081082</v>
      </c>
      <c r="I27" s="476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30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20">
        <f t="shared" ca="1" si="0"/>
        <v>81082</v>
      </c>
      <c r="I28" s="476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30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20">
        <f t="shared" ca="1" si="0"/>
        <v>71082</v>
      </c>
      <c r="I29" s="476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30" t="str">
        <f ca="1">IF(ROWS($1:19)&gt;COUNT(Dong2),"",OFFSET(TH!F$1,SMALL(Dong2,ROWS($1:19)),))</f>
        <v>Phí kiểm đếm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20">
        <f t="shared" ca="1" si="0"/>
        <v>54603</v>
      </c>
      <c r="I30" s="476"/>
      <c r="L30" s="138"/>
    </row>
    <row r="31" spans="1:17" s="145" customFormat="1" ht="18" customHeight="1">
      <c r="A31" s="156">
        <f ca="1">IF(ROWS($1:20)&gt;COUNT(Dong2),"",OFFSET(TH!C$1,SMALL(Dong2,ROWS($1:20)),))</f>
        <v>41204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41204</v>
      </c>
      <c r="D31" s="230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7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0">
        <f t="shared" ca="1" si="0"/>
        <v>45933183</v>
      </c>
      <c r="I31" s="476"/>
      <c r="L31" s="138"/>
    </row>
    <row r="32" spans="1:17" s="145" customFormat="1" ht="18" customHeight="1">
      <c r="A32" s="156">
        <f ca="1">IF(ROWS($1:21)&gt;COUNT(Dong2),"",OFFSET(TH!C$1,SMALL(Dong2,ROWS($1:21)),))</f>
        <v>41206</v>
      </c>
      <c r="B32" s="156" t="str">
        <f ca="1">IF(ROWS($1:21)&gt;COUNT(Dong2),"",OFFSET(TH!D$1,SMALL(Dong2,ROWS($1:21)),))</f>
        <v>C07</v>
      </c>
      <c r="C32" s="156">
        <f ca="1">IF(ROWS($1:21)&gt;COUNT(Dong2),"",OFFSET(TH!E$1,SMALL(Dong2,ROWS($1:21)),))</f>
        <v>41206</v>
      </c>
      <c r="D32" s="230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7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0">
        <f t="shared" ca="1" si="0"/>
        <v>50233183</v>
      </c>
      <c r="I32" s="476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41206</v>
      </c>
      <c r="D33" s="230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7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7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0">
        <f t="shared" ca="1" si="0"/>
        <v>60039463</v>
      </c>
      <c r="I33" s="476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41206</v>
      </c>
      <c r="D34" s="230" t="str">
        <f ca="1">IF(ROWS($1:23)&gt;COUNT(Dong2),"",OFFSET(TH!F$1,SMALL(Dong2,ROWS($1:23)),))</f>
        <v>Thanh toán tiền hàng</v>
      </c>
      <c r="E34" s="156" t="str">
        <f ca="1">IF(ROWS($1:23)&gt;COUNT(Dong2),"",IF(OFFSET(TH!M$1,SMALL(Dong2,ROWS($1:23)),)=$I$6,OFFSET(TH!L$1,SMALL(Dong2,ROWS($1:23)),),OFFSET(TH!M$1,SMALL(Dong2,ROWS($1:23)),)))</f>
        <v>331</v>
      </c>
      <c r="F34" s="47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20">
        <f t="shared" ca="1" si="0"/>
        <v>10039463</v>
      </c>
      <c r="I34" s="476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30" t="str">
        <f ca="1">IF(ROWS($1:24)&gt;COUNT(Dong2),"",OFFSET(TH!F$1,SMALL(Dong2,ROWS($1:24)),))</f>
        <v>Phí chuyển tiền</v>
      </c>
      <c r="E35" s="156" t="str">
        <f ca="1">IF(ROWS($1:24)&gt;COUNT(Dong2),"",IF(OFFSET(TH!M$1,SMALL(Dong2,ROWS($1:24)),)=$I$6,OFFSET(TH!L$1,SMALL(Dong2,ROWS($1:24)),),OFFSET(TH!M$1,SMALL(Dong2,ROWS($1:24)),)))</f>
        <v>642</v>
      </c>
      <c r="F35" s="47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20">
        <f t="shared" ca="1" si="0"/>
        <v>10014463</v>
      </c>
      <c r="I35" s="476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30" t="str">
        <f ca="1">IF(ROWS($1:25)&gt;COUNT(Dong2),"",OFFSET(TH!F$1,SMALL(Dong2,ROWS($1:25)),))</f>
        <v>Phí kiểm đếm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20">
        <f t="shared" ca="1" si="0"/>
        <v>10004463</v>
      </c>
      <c r="I36" s="476"/>
      <c r="L36" s="138"/>
    </row>
    <row r="37" spans="1:12" s="145" customFormat="1" ht="18" customHeight="1">
      <c r="A37" s="156">
        <f ca="1">IF(ROWS($1:26)&gt;COUNT(Dong2),"",OFFSET(TH!C$1,SMALL(Dong2,ROWS($1:26)),))</f>
        <v>41207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41207</v>
      </c>
      <c r="D37" s="230" t="str">
        <f ca="1">IF(ROWS($1:26)&gt;COUNT(Dong2),"",OFFSET(TH!F$1,SMALL(Dong2,ROWS($1:26)),))</f>
        <v>Lãi tiền gửi</v>
      </c>
      <c r="E37" s="156" t="str">
        <f ca="1">IF(ROWS($1:26)&gt;COUNT(Dong2),"",IF(OFFSET(TH!M$1,SMALL(Dong2,ROWS($1:26)),)=$I$6,OFFSET(TH!L$1,SMALL(Dong2,ROWS($1:26)),),OFFSET(TH!M$1,SMALL(Dong2,ROWS($1:26)),)))</f>
        <v>515</v>
      </c>
      <c r="F37" s="47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7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0">
        <f t="shared" ca="1" si="0"/>
        <v>10017262</v>
      </c>
      <c r="I37" s="476"/>
      <c r="L37" s="138"/>
    </row>
    <row r="38" spans="1:12" s="145" customFormat="1" ht="18" customHeight="1">
      <c r="A38" s="156">
        <f ca="1">IF(ROWS($1:27)&gt;COUNT(Dong2),"",OFFSET(TH!C$1,SMALL(Dong2,ROWS($1:27)),))</f>
        <v>41208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41208</v>
      </c>
      <c r="D38" s="230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7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7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20">
        <f t="shared" ca="1" si="0"/>
        <v>13313688</v>
      </c>
      <c r="I38" s="476"/>
      <c r="L38" s="138"/>
    </row>
    <row r="39" spans="1:12" s="145" customFormat="1" ht="18" customHeight="1">
      <c r="A39" s="156">
        <f ca="1">IF(ROWS($1:28)&gt;COUNT(Dong2),"",OFFSET(TH!C$1,SMALL(Dong2,ROWS($1:28)),))</f>
        <v>41209</v>
      </c>
      <c r="B39" s="156" t="str">
        <f ca="1">IF(ROWS($1:28)&gt;COUNT(Dong2),"",OFFSET(TH!D$1,SMALL(Dong2,ROWS($1:28)),))</f>
        <v>C10</v>
      </c>
      <c r="C39" s="156">
        <f ca="1">IF(ROWS($1:28)&gt;COUNT(Dong2),"",OFFSET(TH!E$1,SMALL(Dong2,ROWS($1:28)),))</f>
        <v>41209</v>
      </c>
      <c r="D39" s="230" t="str">
        <f ca="1">IF(ROWS($1:28)&gt;COUNT(Dong2),"",OFFSET(TH!F$1,SMALL(Dong2,ROWS($1:28)),))</f>
        <v>Nộp tiền mặt vào tài khoản</v>
      </c>
      <c r="E39" s="156" t="str">
        <f ca="1">IF(ROWS($1:28)&gt;COUNT(Dong2),"",IF(OFFSET(TH!M$1,SMALL(Dong2,ROWS($1:28)),)=$I$6,OFFSET(TH!L$1,SMALL(Dong2,ROWS($1:28)),),OFFSET(TH!M$1,SMALL(Dong2,ROWS($1:28)),)))</f>
        <v>1111</v>
      </c>
      <c r="F39" s="47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7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20">
        <f t="shared" ca="1" si="0"/>
        <v>13413688</v>
      </c>
      <c r="I39" s="476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GBN</v>
      </c>
      <c r="C40" s="156">
        <f ca="1">IF(ROWS($1:29)&gt;COUNT(Dong2),"",OFFSET(TH!E$1,SMALL(Dong2,ROWS($1:29)),))</f>
        <v>41209</v>
      </c>
      <c r="D40" s="230" t="str">
        <f ca="1">IF(ROWS($1:29)&gt;COUNT(Dong2),"",OFFSET(TH!F$1,SMALL(Dong2,ROWS($1:29)),))</f>
        <v>Thanh toán tiền hàng</v>
      </c>
      <c r="E40" s="156" t="str">
        <f ca="1">IF(ROWS($1:29)&gt;COUNT(Dong2),"",IF(OFFSET(TH!M$1,SMALL(Dong2,ROWS($1:29)),)=$I$6,OFFSET(TH!L$1,SMALL(Dong2,ROWS($1:29)),),OFFSET(TH!M$1,SMALL(Dong2,ROWS($1:29)),)))</f>
        <v>331</v>
      </c>
      <c r="F40" s="47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20">
        <f t="shared" ca="1" si="0"/>
        <v>3413688</v>
      </c>
      <c r="I40" s="476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30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20">
        <f t="shared" ref="H41:H43" ca="1" si="1">IF(A41&lt;&gt;"",H40+F41-G41,0)</f>
        <v>3393688</v>
      </c>
      <c r="I41" s="476"/>
    </row>
    <row r="42" spans="1:12" s="145" customFormat="1" ht="18" customHeight="1">
      <c r="A42" s="156">
        <f ca="1">IF(ROWS($1:31)&gt;COUNT(Dong2),"",OFFSET(TH!C$1,SMALL(Dong2,ROWS($1:31)),))</f>
        <v>41211</v>
      </c>
      <c r="B42" s="156" t="str">
        <f ca="1">IF(ROWS($1:31)&gt;COUNT(Dong2),"",OFFSET(TH!D$1,SMALL(Dong2,ROWS($1:31)),))</f>
        <v>C11</v>
      </c>
      <c r="C42" s="156">
        <f ca="1">IF(ROWS($1:31)&gt;COUNT(Dong2),"",OFFSET(TH!E$1,SMALL(Dong2,ROWS($1:31)),))</f>
        <v>41211</v>
      </c>
      <c r="D42" s="230" t="str">
        <f ca="1">IF(ROWS($1:31)&gt;COUNT(Dong2),"",OFFSET(TH!F$1,SMALL(Dong2,ROWS($1:31)),))</f>
        <v>Nộp tiền mặt vào tài khoản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7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7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20">
        <f t="shared" ca="1" si="1"/>
        <v>53393688</v>
      </c>
      <c r="I42" s="476"/>
    </row>
    <row r="43" spans="1:12" s="145" customFormat="1" ht="18" customHeight="1">
      <c r="A43" s="156">
        <f ca="1">IF(ROWS($1:32)&gt;COUNT(Dong2),"",OFFSET(TH!C$1,SMALL(Dong2,ROWS($1:32)),))</f>
        <v>41211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41211</v>
      </c>
      <c r="D43" s="230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7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20">
        <f t="shared" ca="1" si="1"/>
        <v>3393688</v>
      </c>
      <c r="I43" s="476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41211</v>
      </c>
      <c r="D44" s="230" t="str">
        <f ca="1">IF(ROWS($1:33)&gt;COUNT(Dong2),"",OFFSET(TH!F$1,SMALL(Dong2,ROWS($1:33)),))</f>
        <v>Phí chuyển tiền</v>
      </c>
      <c r="E44" s="156" t="str">
        <f ca="1">IF(ROWS($1:33)&gt;COUNT(Dong2),"",IF(OFFSET(TH!M$1,SMALL(Dong2,ROWS($1:33)),)=$I$6,OFFSET(TH!L$1,SMALL(Dong2,ROWS($1:33)),),OFFSET(TH!M$1,SMALL(Dong2,ROWS($1:33)),)))</f>
        <v>642</v>
      </c>
      <c r="F44" s="47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20">
        <f t="shared" ref="H44:H55" ca="1" si="2">IF(A44&lt;&gt;"",H43+F44-G44,0)</f>
        <v>3368688</v>
      </c>
      <c r="I44" s="476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30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20">
        <f t="shared" ca="1" si="2"/>
        <v>3354698</v>
      </c>
      <c r="I45" s="476"/>
    </row>
    <row r="46" spans="1:12" s="145" customFormat="1" ht="18" customHeight="1">
      <c r="A46" s="156">
        <f ca="1">IF(ROWS($1:35)&gt;COUNT(Dong2),"",OFFSET(TH!C$1,SMALL(Dong2,ROWS($1:35)),))</f>
        <v>41214</v>
      </c>
      <c r="B46" s="156" t="str">
        <f ca="1">IF(ROWS($1:35)&gt;COUNT(Dong2),"",OFFSET(TH!D$1,SMALL(Dong2,ROWS($1:35)),))</f>
        <v>C14</v>
      </c>
      <c r="C46" s="156">
        <f ca="1">IF(ROWS($1:35)&gt;COUNT(Dong2),"",OFFSET(TH!E$1,SMALL(Dong2,ROWS($1:35)),))</f>
        <v>41214</v>
      </c>
      <c r="D46" s="230" t="str">
        <f ca="1">IF(ROWS($1:35)&gt;COUNT(Dong2),"",OFFSET(TH!F$1,SMALL(Dong2,ROWS($1:35)),))</f>
        <v>Nộp tiền mặt vào tài khoản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7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20">
        <f t="shared" ca="1" si="2"/>
        <v>65354698</v>
      </c>
      <c r="I46" s="476"/>
    </row>
    <row r="47" spans="1:12" s="145" customFormat="1" ht="18" customHeight="1">
      <c r="A47" s="156">
        <f ca="1">IF(ROWS($1:36)&gt;COUNT(Dong2),"",OFFSET(TH!C$1,SMALL(Dong2,ROWS($1:36)),))</f>
        <v>41215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41215</v>
      </c>
      <c r="D47" s="230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20">
        <f t="shared" ca="1" si="2"/>
        <v>60354698</v>
      </c>
      <c r="I47" s="476"/>
    </row>
    <row r="48" spans="1:12" s="145" customFormat="1" ht="18" customHeight="1">
      <c r="A48" s="156">
        <f ca="1">IF(ROWS($1:37)&gt;COUNT(Dong2),"",OFFSET(TH!C$1,SMALL(Dong2,ROWS($1:37)),))</f>
        <v>41215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41215</v>
      </c>
      <c r="D48" s="230" t="str">
        <f ca="1">IF(ROWS($1:37)&gt;COUNT(Dong2),"",OFFSET(TH!F$1,SMALL(Dong2,ROWS($1:37)),))</f>
        <v>Phí chuyển tiền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20">
        <f t="shared" ca="1" si="2"/>
        <v>60334698</v>
      </c>
      <c r="I48" s="476"/>
    </row>
    <row r="49" spans="1:9" s="145" customFormat="1" ht="18" customHeight="1">
      <c r="A49" s="156">
        <f ca="1">IF(ROWS($1:38)&gt;COUNT(Dong2),"",OFFSET(TH!C$1,SMALL(Dong2,ROWS($1:38)),))</f>
        <v>41215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41215</v>
      </c>
      <c r="D49" s="230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7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20">
        <f t="shared" ca="1" si="2"/>
        <v>334698</v>
      </c>
      <c r="I49" s="476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30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20">
        <f t="shared" ca="1" si="2"/>
        <v>304698</v>
      </c>
      <c r="I50" s="476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30" t="str">
        <f ca="1">IF(ROWS($1:40)&gt;COUNT(Dong2),"",OFFSET(TH!F$1,SMALL(Dong2,ROWS($1:40)),))</f>
        <v>Phí kiểm đếm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20">
        <f t="shared" ca="1" si="2"/>
        <v>286098</v>
      </c>
      <c r="I51" s="476"/>
    </row>
    <row r="52" spans="1:9" s="145" customFormat="1" ht="18" customHeight="1">
      <c r="A52" s="156">
        <f ca="1">IF(ROWS($1:41)&gt;COUNT(Dong2),"",OFFSET(TH!C$1,SMALL(Dong2,ROWS($1:41)),))</f>
        <v>41220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41220</v>
      </c>
      <c r="D52" s="230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7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20">
        <f t="shared" ca="1" si="2"/>
        <v>41892454</v>
      </c>
      <c r="I52" s="476"/>
    </row>
    <row r="53" spans="1:9" s="145" customFormat="1" ht="18" customHeight="1">
      <c r="A53" s="156">
        <f ca="1">IF(ROWS($1:42)&gt;COUNT(Dong2),"",OFFSET(TH!C$1,SMALL(Dong2,ROWS($1:42)),))</f>
        <v>41221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41221</v>
      </c>
      <c r="D53" s="230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7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20">
        <f t="shared" ca="1" si="2"/>
        <v>60185454</v>
      </c>
      <c r="I53" s="476"/>
    </row>
    <row r="54" spans="1:9" s="145" customFormat="1" ht="18" customHeight="1">
      <c r="A54" s="156">
        <f ca="1">IF(ROWS($1:43)&gt;COUNT(Dong2),"",OFFSET(TH!C$1,SMALL(Dong2,ROWS($1:43)),))</f>
        <v>41222</v>
      </c>
      <c r="B54" s="156" t="str">
        <f ca="1">IF(ROWS($1:43)&gt;COUNT(Dong2),"",OFFSET(TH!D$1,SMALL(Dong2,ROWS($1:43)),))</f>
        <v>T10</v>
      </c>
      <c r="C54" s="156">
        <f ca="1">IF(ROWS($1:43)&gt;COUNT(Dong2),"",OFFSET(TH!E$1,SMALL(Dong2,ROWS($1:43)),))</f>
        <v>41222</v>
      </c>
      <c r="D54" s="230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20">
        <f t="shared" ca="1" si="2"/>
        <v>19185454</v>
      </c>
      <c r="I54" s="476"/>
    </row>
    <row r="55" spans="1:9" s="145" customFormat="1" ht="18" customHeight="1">
      <c r="A55" s="156">
        <f ca="1">IF(ROWS($1:44)&gt;COUNT(Dong2),"",OFFSET(TH!C$1,SMALL(Dong2,ROWS($1:44)),))</f>
        <v>41222</v>
      </c>
      <c r="B55" s="156" t="str">
        <f ca="1">IF(ROWS($1:44)&gt;COUNT(Dong2),"",OFFSET(TH!D$1,SMALL(Dong2,ROWS($1:44)),))</f>
        <v>T11</v>
      </c>
      <c r="C55" s="156">
        <f ca="1">IF(ROWS($1:44)&gt;COUNT(Dong2),"",OFFSET(TH!E$1,SMALL(Dong2,ROWS($1:44)),))</f>
        <v>41222</v>
      </c>
      <c r="D55" s="230" t="str">
        <f ca="1">IF(ROWS($1:44)&gt;COUNT(Dong2),"",OFFSET(TH!F$1,SMALL(Dong2,ROWS($1:44)),))</f>
        <v>Chi Sec nhập quỹ tiền mặt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7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20">
        <f t="shared" ca="1" si="2"/>
        <v>185454</v>
      </c>
      <c r="I55" s="476"/>
    </row>
    <row r="56" spans="1:9" s="145" customFormat="1" ht="18" customHeight="1">
      <c r="A56" s="156">
        <f ca="1">IF(ROWS($1:45)&gt;COUNT(Dong2),"",OFFSET(TH!C$1,SMALL(Dong2,ROWS($1:45)),))</f>
        <v>41237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41237</v>
      </c>
      <c r="D56" s="230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7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20">
        <f t="shared" ref="H56:H71" ca="1" si="3">IF(A56&lt;&gt;"",H55+F56-G56,0)</f>
        <v>196432</v>
      </c>
      <c r="I56" s="476"/>
    </row>
    <row r="57" spans="1:9" s="145" customFormat="1" ht="18" customHeight="1">
      <c r="A57" s="156">
        <f ca="1">IF(ROWS($1:46)&gt;COUNT(Dong2),"",OFFSET(TH!C$1,SMALL(Dong2,ROWS($1:46)),))</f>
        <v>41239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41239</v>
      </c>
      <c r="D57" s="230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7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20">
        <f t="shared" ca="1" si="3"/>
        <v>9260432</v>
      </c>
      <c r="I57" s="476"/>
    </row>
    <row r="58" spans="1:9" s="145" customFormat="1" ht="18" customHeight="1">
      <c r="A58" s="156">
        <f ca="1">IF(ROWS($1:47)&gt;COUNT(Dong2),"",OFFSET(TH!C$1,SMALL(Dong2,ROWS($1:47)),))</f>
        <v>41242</v>
      </c>
      <c r="B58" s="156" t="str">
        <f ca="1">IF(ROWS($1:47)&gt;COUNT(Dong2),"",OFFSET(TH!D$1,SMALL(Dong2,ROWS($1:47)),))</f>
        <v>T14</v>
      </c>
      <c r="C58" s="156">
        <f ca="1">IF(ROWS($1:47)&gt;COUNT(Dong2),"",OFFSET(TH!E$1,SMALL(Dong2,ROWS($1:47)),))</f>
        <v>41242</v>
      </c>
      <c r="D58" s="230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20">
        <f t="shared" ca="1" si="3"/>
        <v>260432</v>
      </c>
      <c r="I58" s="476"/>
    </row>
    <row r="59" spans="1:9" s="145" customFormat="1" ht="18" customHeight="1">
      <c r="A59" s="156">
        <f ca="1">IF(ROWS($1:48)&gt;COUNT(Dong2),"",OFFSET(TH!C$1,SMALL(Dong2,ROWS($1:48)),))</f>
        <v>41244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41244</v>
      </c>
      <c r="D59" s="230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7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20">
        <f t="shared" ca="1" si="3"/>
        <v>25526112</v>
      </c>
      <c r="I59" s="476"/>
    </row>
    <row r="60" spans="1:9" s="145" customFormat="1" ht="18" customHeight="1">
      <c r="A60" s="156">
        <f ca="1">IF(ROWS($1:49)&gt;COUNT(Dong2),"",OFFSET(TH!C$1,SMALL(Dong2,ROWS($1:49)),))</f>
        <v>41247</v>
      </c>
      <c r="B60" s="156" t="str">
        <f ca="1">IF(ROWS($1:49)&gt;COUNT(Dong2),"",OFFSET(TH!D$1,SMALL(Dong2,ROWS($1:49)),))</f>
        <v>GBC</v>
      </c>
      <c r="C60" s="156">
        <f ca="1">IF(ROWS($1:49)&gt;COUNT(Dong2),"",OFFSET(TH!E$1,SMALL(Dong2,ROWS($1:49)),))</f>
        <v>41247</v>
      </c>
      <c r="D60" s="230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7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20">
        <f t="shared" ca="1" si="3"/>
        <v>35620812</v>
      </c>
      <c r="I60" s="476"/>
    </row>
    <row r="61" spans="1:9" s="145" customFormat="1" ht="18" customHeight="1">
      <c r="A61" s="156">
        <f ca="1">IF(ROWS($1:50)&gt;COUNT(Dong2),"",OFFSET(TH!C$1,SMALL(Dong2,ROWS($1:50)),))</f>
        <v>41247</v>
      </c>
      <c r="B61" s="156" t="str">
        <f ca="1">IF(ROWS($1:50)&gt;COUNT(Dong2),"",OFFSET(TH!D$1,SMALL(Dong2,ROWS($1:50)),))</f>
        <v>T15</v>
      </c>
      <c r="C61" s="156">
        <f ca="1">IF(ROWS($1:50)&gt;COUNT(Dong2),"",OFFSET(TH!E$1,SMALL(Dong2,ROWS($1:50)),))</f>
        <v>41247</v>
      </c>
      <c r="D61" s="230" t="str">
        <f ca="1">IF(ROWS($1:50)&gt;COUNT(Dong2),"",OFFSET(TH!F$1,SMALL(Dong2,ROWS($1:50)),))</f>
        <v>Chi Sec nhập quỹ tiền mặt</v>
      </c>
      <c r="E61" s="156" t="str">
        <f ca="1">IF(ROWS($1:50)&gt;COUNT(Dong2),"",IF(OFFSET(TH!M$1,SMALL(Dong2,ROWS($1:50)),)=$I$6,OFFSET(TH!L$1,SMALL(Dong2,ROWS($1:50)),),OFFSET(TH!M$1,SMALL(Dong2,ROWS($1:50)),)))</f>
        <v>1111</v>
      </c>
      <c r="F61" s="47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7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20">
        <f t="shared" ca="1" si="3"/>
        <v>10620812</v>
      </c>
      <c r="I61" s="476"/>
    </row>
    <row r="62" spans="1:9" s="145" customFormat="1" ht="18" customHeight="1">
      <c r="A62" s="156">
        <f ca="1">IF(ROWS($1:51)&gt;COUNT(Dong2),"",OFFSET(TH!C$1,SMALL(Dong2,ROWS($1:51)),))</f>
        <v>41256</v>
      </c>
      <c r="B62" s="156" t="str">
        <f ca="1">IF(ROWS($1:51)&gt;COUNT(Dong2),"",OFFSET(TH!D$1,SMALL(Dong2,ROWS($1:51)),))</f>
        <v>C23</v>
      </c>
      <c r="C62" s="156">
        <f ca="1">IF(ROWS($1:51)&gt;COUNT(Dong2),"",OFFSET(TH!E$1,SMALL(Dong2,ROWS($1:51)),))</f>
        <v>41256</v>
      </c>
      <c r="D62" s="230" t="str">
        <f ca="1">IF(ROWS($1:51)&gt;COUNT(Dong2),"",OFFSET(TH!F$1,SMALL(Dong2,ROWS($1:51)),))</f>
        <v>Nộp tiền mặt vào tài khoản</v>
      </c>
      <c r="E62" s="156" t="str">
        <f ca="1">IF(ROWS($1:51)&gt;COUNT(Dong2),"",IF(OFFSET(TH!M$1,SMALL(Dong2,ROWS($1:51)),)=$I$6,OFFSET(TH!L$1,SMALL(Dong2,ROWS($1:51)),),OFFSET(TH!M$1,SMALL(Dong2,ROWS($1:51)),)))</f>
        <v>1111</v>
      </c>
      <c r="F62" s="47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7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20">
        <f t="shared" ca="1" si="3"/>
        <v>45620812</v>
      </c>
      <c r="I62" s="476"/>
    </row>
    <row r="63" spans="1:9" s="145" customFormat="1" ht="18" customHeight="1">
      <c r="A63" s="156">
        <f ca="1">IF(ROWS($1:52)&gt;COUNT(Dong2),"",OFFSET(TH!C$1,SMALL(Dong2,ROWS($1:52)),))</f>
        <v>41256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41256</v>
      </c>
      <c r="D63" s="230" t="str">
        <f ca="1">IF(ROWS($1:52)&gt;COUNT(Dong2),"",OFFSET(TH!F$1,SMALL(Dong2,ROWS($1:52)),))</f>
        <v>Thanh toán tiền hàng</v>
      </c>
      <c r="E63" s="156" t="str">
        <f ca="1">IF(ROWS($1:52)&gt;COUNT(Dong2),"",IF(OFFSET(TH!M$1,SMALL(Dong2,ROWS($1:52)),)=$I$6,OFFSET(TH!L$1,SMALL(Dong2,ROWS($1:52)),),OFFSET(TH!M$1,SMALL(Dong2,ROWS($1:52)),)))</f>
        <v>331</v>
      </c>
      <c r="F63" s="47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20">
        <f t="shared" ca="1" si="3"/>
        <v>620812</v>
      </c>
      <c r="I63" s="476"/>
    </row>
    <row r="64" spans="1:9" s="145" customFormat="1" ht="18" customHeight="1">
      <c r="A64" s="156">
        <f ca="1">IF(ROWS($1:53)&gt;COUNT(Dong2),"",OFFSET(TH!C$1,SMALL(Dong2,ROWS($1:53)),))</f>
        <v>41256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41256</v>
      </c>
      <c r="D64" s="230" t="str">
        <f ca="1">IF(ROWS($1:53)&gt;COUNT(Dong2),"",OFFSET(TH!F$1,SMALL(Dong2,ROWS($1:53)),))</f>
        <v>Phí chuyển tiền</v>
      </c>
      <c r="E64" s="156" t="str">
        <f ca="1">IF(ROWS($1:53)&gt;COUNT(Dong2),"",IF(OFFSET(TH!M$1,SMALL(Dong2,ROWS($1:53)),)=$I$6,OFFSET(TH!L$1,SMALL(Dong2,ROWS($1:53)),),OFFSET(TH!M$1,SMALL(Dong2,ROWS($1:53)),)))</f>
        <v>642</v>
      </c>
      <c r="F64" s="47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20">
        <f t="shared" ca="1" si="3"/>
        <v>598312</v>
      </c>
      <c r="I64" s="476"/>
    </row>
    <row r="65" spans="1:20" s="145" customFormat="1" ht="18" customHeight="1">
      <c r="A65" s="156">
        <f ca="1">IF(ROWS($1:54)&gt;COUNT(Dong2),"",OFFSET(TH!C$1,SMALL(Dong2,ROWS($1:54)),))</f>
        <v>41256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41256</v>
      </c>
      <c r="D65" s="230" t="str">
        <f ca="1">IF(ROWS($1:54)&gt;COUNT(Dong2),"",OFFSET(TH!F$1,SMALL(Dong2,ROWS($1:54)),))</f>
        <v>Phí kiểm đếm</v>
      </c>
      <c r="E65" s="156" t="str">
        <f ca="1">IF(ROWS($1:54)&gt;COUNT(Dong2),"",IF(OFFSET(TH!M$1,SMALL(Dong2,ROWS($1:54)),)=$I$6,OFFSET(TH!L$1,SMALL(Dong2,ROWS($1:54)),),OFFSET(TH!M$1,SMALL(Dong2,ROWS($1:54)),)))</f>
        <v>642</v>
      </c>
      <c r="F65" s="47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7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20">
        <f t="shared" ca="1" si="3"/>
        <v>587991</v>
      </c>
      <c r="I65" s="476"/>
    </row>
    <row r="66" spans="1:20" s="145" customFormat="1" ht="18" customHeight="1">
      <c r="A66" s="156">
        <f ca="1">IF(ROWS($1:55)&gt;COUNT(Dong2),"",OFFSET(TH!C$1,SMALL(Dong2,ROWS($1:55)),))</f>
        <v>41267</v>
      </c>
      <c r="B66" s="156" t="str">
        <f ca="1">IF(ROWS($1:55)&gt;COUNT(Dong2),"",OFFSET(TH!D$1,SMALL(Dong2,ROWS($1:55)),))</f>
        <v>GBC</v>
      </c>
      <c r="C66" s="156">
        <f ca="1">IF(ROWS($1:55)&gt;COUNT(Dong2),"",OFFSET(TH!E$1,SMALL(Dong2,ROWS($1:55)),))</f>
        <v>41267</v>
      </c>
      <c r="D66" s="230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7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20">
        <f t="shared" ca="1" si="3"/>
        <v>15655956</v>
      </c>
      <c r="I66" s="476"/>
    </row>
    <row r="67" spans="1:20" s="145" customFormat="1" ht="18" customHeight="1">
      <c r="A67" s="156">
        <f ca="1">IF(ROWS($1:56)&gt;COUNT(Dong2),"",OFFSET(TH!C$1,SMALL(Dong2,ROWS($1:56)),))</f>
        <v>41268</v>
      </c>
      <c r="B67" s="156" t="str">
        <f ca="1">IF(ROWS($1:56)&gt;COUNT(Dong2),"",OFFSET(TH!D$1,SMALL(Dong2,ROWS($1:56)),))</f>
        <v>GBC</v>
      </c>
      <c r="C67" s="156">
        <f ca="1">IF(ROWS($1:56)&gt;COUNT(Dong2),"",OFFSET(TH!E$1,SMALL(Dong2,ROWS($1:56)),))</f>
        <v>41268</v>
      </c>
      <c r="D67" s="230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7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20">
        <f t="shared" ca="1" si="3"/>
        <v>32694956</v>
      </c>
      <c r="I67" s="476"/>
    </row>
    <row r="68" spans="1:20" s="145" customFormat="1" ht="18" customHeight="1">
      <c r="A68" s="156">
        <f ca="1">IF(ROWS($1:57)&gt;COUNT(Dong2),"",OFFSET(TH!C$1,SMALL(Dong2,ROWS($1:57)),))</f>
        <v>41268</v>
      </c>
      <c r="B68" s="156" t="str">
        <f ca="1">IF(ROWS($1:57)&gt;COUNT(Dong2),"",OFFSET(TH!D$1,SMALL(Dong2,ROWS($1:57)),))</f>
        <v>GBC</v>
      </c>
      <c r="C68" s="156">
        <f ca="1">IF(ROWS($1:57)&gt;COUNT(Dong2),"",OFFSET(TH!E$1,SMALL(Dong2,ROWS($1:57)),))</f>
        <v>41268</v>
      </c>
      <c r="D68" s="230" t="str">
        <f ca="1">IF(ROWS($1:57)&gt;COUNT(Dong2),"",OFFSET(TH!F$1,SMALL(Dong2,ROWS($1:57)),))</f>
        <v>Thu tiền hàng</v>
      </c>
      <c r="E68" s="156" t="str">
        <f ca="1">IF(ROWS($1:57)&gt;COUNT(Dong2),"",IF(OFFSET(TH!M$1,SMALL(Dong2,ROWS($1:57)),)=$I$6,OFFSET(TH!L$1,SMALL(Dong2,ROWS($1:57)),),OFFSET(TH!M$1,SMALL(Dong2,ROWS($1:57)),)))</f>
        <v>131</v>
      </c>
      <c r="F68" s="47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7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20">
        <f t="shared" ca="1" si="3"/>
        <v>38852956</v>
      </c>
      <c r="I68" s="476"/>
    </row>
    <row r="69" spans="1:20" s="145" customFormat="1" ht="18" customHeight="1">
      <c r="A69" s="156">
        <f ca="1">IF(ROWS($1:58)&gt;COUNT(Dong2),"",OFFSET(TH!C$1,SMALL(Dong2,ROWS($1:58)),))</f>
        <v>41268</v>
      </c>
      <c r="B69" s="156" t="str">
        <f ca="1">IF(ROWS($1:58)&gt;COUNT(Dong2),"",OFFSET(TH!D$1,SMALL(Dong2,ROWS($1:58)),))</f>
        <v>C26</v>
      </c>
      <c r="C69" s="156">
        <f ca="1">IF(ROWS($1:58)&gt;COUNT(Dong2),"",OFFSET(TH!E$1,SMALL(Dong2,ROWS($1:58)),))</f>
        <v>41268</v>
      </c>
      <c r="D69" s="230" t="str">
        <f ca="1">IF(ROWS($1:58)&gt;COUNT(Dong2),"",OFFSET(TH!F$1,SMALL(Dong2,ROWS($1:58)),))</f>
        <v>Nộp tiền mặt vào tài khoản</v>
      </c>
      <c r="E69" s="156" t="str">
        <f ca="1">IF(ROWS($1:58)&gt;COUNT(Dong2),"",IF(OFFSET(TH!M$1,SMALL(Dong2,ROWS($1:58)),)=$I$6,OFFSET(TH!L$1,SMALL(Dong2,ROWS($1:58)),),OFFSET(TH!M$1,SMALL(Dong2,ROWS($1:58)),)))</f>
        <v>1111</v>
      </c>
      <c r="F69" s="47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7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20">
        <f t="shared" ca="1" si="3"/>
        <v>44852956</v>
      </c>
      <c r="I69" s="476"/>
    </row>
    <row r="70" spans="1:20" s="145" customFormat="1" ht="18" customHeight="1">
      <c r="A70" s="156">
        <f ca="1">IF(ROWS($1:59)&gt;COUNT(Dong2),"",OFFSET(TH!C$1,SMALL(Dong2,ROWS($1:59)),))</f>
        <v>41268</v>
      </c>
      <c r="B70" s="156" t="str">
        <f ca="1">IF(ROWS($1:59)&gt;COUNT(Dong2),"",OFFSET(TH!D$1,SMALL(Dong2,ROWS($1:59)),))</f>
        <v>GBC</v>
      </c>
      <c r="C70" s="156">
        <f ca="1">IF(ROWS($1:59)&gt;COUNT(Dong2),"",OFFSET(TH!E$1,SMALL(Dong2,ROWS($1:59)),))</f>
        <v>41268</v>
      </c>
      <c r="D70" s="230" t="str">
        <f ca="1">IF(ROWS($1:59)&gt;COUNT(Dong2),"",OFFSET(TH!F$1,SMALL(Dong2,ROWS($1:59)),))</f>
        <v>Lãi tiền gửi</v>
      </c>
      <c r="E70" s="156" t="str">
        <f ca="1">IF(ROWS($1:59)&gt;COUNT(Dong2),"",IF(OFFSET(TH!M$1,SMALL(Dong2,ROWS($1:59)),)=$I$6,OFFSET(TH!L$1,SMALL(Dong2,ROWS($1:59)),),OFFSET(TH!M$1,SMALL(Dong2,ROWS($1:59)),)))</f>
        <v>515</v>
      </c>
      <c r="F70" s="47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7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20">
        <f t="shared" ca="1" si="3"/>
        <v>44864933</v>
      </c>
      <c r="I70" s="476"/>
    </row>
    <row r="71" spans="1:20" s="145" customFormat="1" ht="18" customHeight="1">
      <c r="A71" s="156">
        <f ca="1">IF(ROWS($1:60)&gt;COUNT(Dong2),"",OFFSET(TH!C$1,SMALL(Dong2,ROWS($1:60)),))</f>
        <v>41268</v>
      </c>
      <c r="B71" s="156" t="str">
        <f ca="1">IF(ROWS($1:60)&gt;COUNT(Dong2),"",OFFSET(TH!D$1,SMALL(Dong2,ROWS($1:60)),))</f>
        <v>T21</v>
      </c>
      <c r="C71" s="156">
        <f ca="1">IF(ROWS($1:60)&gt;COUNT(Dong2),"",OFFSET(TH!E$1,SMALL(Dong2,ROWS($1:60)),))</f>
        <v>41268</v>
      </c>
      <c r="D71" s="230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20">
        <f t="shared" ca="1" si="3"/>
        <v>6364933</v>
      </c>
      <c r="I71" s="476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41268</v>
      </c>
      <c r="D72" s="230" t="str">
        <f ca="1">IF(ROWS($1:61)&gt;COUNT(Dong2),"",OFFSET(TH!F$1,SMALL(Dong2,ROWS($1:61)),))</f>
        <v>Thanh toán tiền hàng</v>
      </c>
      <c r="E72" s="156" t="str">
        <f ca="1">IF(ROWS($1:61)&gt;COUNT(Dong2),"",IF(OFFSET(TH!M$1,SMALL(Dong2,ROWS($1:61)),)=$I$6,OFFSET(TH!L$1,SMALL(Dong2,ROWS($1:61)),),OFFSET(TH!M$1,SMALL(Dong2,ROWS($1:61)),)))</f>
        <v>331</v>
      </c>
      <c r="F72" s="47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20">
        <f t="shared" ref="H72:H76" ca="1" si="4">IF(A72&lt;&gt;"",H71+F72-G72,0)</f>
        <v>364933</v>
      </c>
      <c r="I72" s="476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41268</v>
      </c>
      <c r="D73" s="230" t="str">
        <f ca="1">IF(ROWS($1:62)&gt;COUNT(Dong2),"",OFFSET(TH!F$1,SMALL(Dong2,ROWS($1:62)),))</f>
        <v>Phí chuyển tiền</v>
      </c>
      <c r="E73" s="156" t="str">
        <f ca="1">IF(ROWS($1:62)&gt;COUNT(Dong2),"",IF(OFFSET(TH!M$1,SMALL(Dong2,ROWS($1:62)),)=$I$6,OFFSET(TH!L$1,SMALL(Dong2,ROWS($1:62)),),OFFSET(TH!M$1,SMALL(Dong2,ROWS($1:62)),)))</f>
        <v>642</v>
      </c>
      <c r="F73" s="47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20">
        <f t="shared" ca="1" si="4"/>
        <v>344933</v>
      </c>
      <c r="I73" s="476"/>
    </row>
    <row r="74" spans="1:20" s="145" customFormat="1" ht="18" customHeight="1">
      <c r="A74" s="156">
        <f ca="1">IF(ROWS($1:63)&gt;COUNT(Dong2),"",OFFSET(TH!C$1,SMALL(Dong2,ROWS($1:63)),))</f>
        <v>41269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41269</v>
      </c>
      <c r="D74" s="230" t="str">
        <f ca="1">IF(ROWS($1:63)&gt;COUNT(Dong2),"",OFFSET(TH!F$1,SMALL(Dong2,ROWS($1:63)),))</f>
        <v>Phí kiểm đếm</v>
      </c>
      <c r="E74" s="156" t="str">
        <f ca="1">IF(ROWS($1:63)&gt;COUNT(Dong2),"",IF(OFFSET(TH!M$1,SMALL(Dong2,ROWS($1:63)),)=$I$6,OFFSET(TH!L$1,SMALL(Dong2,ROWS($1:63)),),OFFSET(TH!M$1,SMALL(Dong2,ROWS($1:63)),)))</f>
        <v>642</v>
      </c>
      <c r="F74" s="47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20">
        <f t="shared" ca="1" si="4"/>
        <v>334933</v>
      </c>
      <c r="I74" s="476"/>
    </row>
    <row r="75" spans="1:20" s="145" customFormat="1" ht="18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0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20">
        <f t="shared" ca="1" si="4"/>
        <v>0</v>
      </c>
      <c r="I75" s="476"/>
    </row>
    <row r="76" spans="1:20" s="145" customFormat="1" ht="18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0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20">
        <f t="shared" ca="1" si="4"/>
        <v>0</v>
      </c>
      <c r="I76" s="476"/>
    </row>
    <row r="77" spans="1:20" s="145" customFormat="1" ht="18" customHeight="1">
      <c r="A77" s="156"/>
      <c r="B77" s="156"/>
      <c r="C77" s="156"/>
      <c r="D77" s="230"/>
      <c r="E77" s="156"/>
      <c r="F77" s="479"/>
      <c r="G77" s="479"/>
      <c r="H77" s="620"/>
      <c r="I77" s="476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8">
        <f ca="1">SUM(F12:F77)</f>
        <v>487031241</v>
      </c>
      <c r="G78" s="478">
        <f ca="1">SUM(G12:G77)</f>
        <v>486866179</v>
      </c>
      <c r="H78" s="478">
        <f ca="1">H11+F78-G78</f>
        <v>334933</v>
      </c>
      <c r="I78" s="477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8">
        <f ca="1">H78</f>
        <v>334933</v>
      </c>
      <c r="I79" s="159"/>
    </row>
    <row r="80" spans="1:20" s="155" customFormat="1" ht="22.5" customHeight="1">
      <c r="A80" s="248" t="s">
        <v>160</v>
      </c>
      <c r="B80" s="161"/>
      <c r="F80" s="162"/>
      <c r="H80" s="613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13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13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14"/>
      <c r="I83" s="231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13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2" t="s">
        <v>104</v>
      </c>
    </row>
  </sheetData>
  <autoFilter ref="A10:K81"/>
  <mergeCells count="13"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9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99" t="s">
        <v>374</v>
      </c>
      <c r="B1" s="999"/>
      <c r="C1" s="999"/>
      <c r="D1" s="999"/>
      <c r="E1" s="999"/>
      <c r="F1" s="999"/>
      <c r="G1" s="999"/>
      <c r="H1" s="999"/>
    </row>
    <row r="2" spans="1:9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9" s="10" customFormat="1" ht="14.25" customHeight="1">
      <c r="A3" s="1001"/>
      <c r="B3" s="1003"/>
      <c r="C3" s="626" t="s">
        <v>42</v>
      </c>
      <c r="D3" s="626" t="s">
        <v>43</v>
      </c>
      <c r="E3" s="626" t="s">
        <v>42</v>
      </c>
      <c r="F3" s="626" t="s">
        <v>43</v>
      </c>
      <c r="G3" s="626" t="s">
        <v>42</v>
      </c>
      <c r="H3" s="626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700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42">
        <f t="shared" si="1"/>
        <v>0</v>
      </c>
      <c r="H8" s="842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891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842">
        <f t="shared" si="1"/>
        <v>0</v>
      </c>
      <c r="H9" s="842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873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842">
        <f t="shared" si="1"/>
        <v>0</v>
      </c>
      <c r="H10" s="842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812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42">
        <f t="shared" si="1"/>
        <v>0</v>
      </c>
      <c r="H11" s="842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852" t="s">
        <v>762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42">
        <f t="shared" si="1"/>
        <v>0</v>
      </c>
      <c r="H12" s="842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822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42">
        <f t="shared" si="1"/>
        <v>0</v>
      </c>
      <c r="H13" s="842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632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842">
        <f t="shared" si="1"/>
        <v>13032597</v>
      </c>
      <c r="H14" s="842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852" t="s">
        <v>832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42">
        <f t="shared" si="1"/>
        <v>0</v>
      </c>
      <c r="H15" s="842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842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42">
        <f t="shared" si="1"/>
        <v>0</v>
      </c>
      <c r="H16" s="842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834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42">
        <f t="shared" si="1"/>
        <v>0</v>
      </c>
      <c r="H17" s="842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886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842">
        <f t="shared" si="1"/>
        <v>0</v>
      </c>
      <c r="H18" s="842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857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42">
        <f t="shared" si="1"/>
        <v>0</v>
      </c>
      <c r="H19" s="842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688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42">
        <f t="shared" si="1"/>
        <v>0</v>
      </c>
      <c r="H20" s="842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596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42">
        <f t="shared" si="1"/>
        <v>0</v>
      </c>
      <c r="H21" s="842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792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42">
        <f t="shared" si="1"/>
        <v>0</v>
      </c>
      <c r="H22" s="842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910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42">
        <f t="shared" si="1"/>
        <v>0</v>
      </c>
      <c r="H23" s="842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633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42">
        <f t="shared" si="1"/>
        <v>0</v>
      </c>
      <c r="H24" s="842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799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842">
        <f t="shared" si="1"/>
        <v>0</v>
      </c>
      <c r="H25" s="842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1026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842">
        <f t="shared" si="1"/>
        <v>0</v>
      </c>
      <c r="H26" s="842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1102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42">
        <f t="shared" si="1"/>
        <v>0</v>
      </c>
      <c r="H27" s="842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1079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42">
        <f t="shared" si="1"/>
        <v>0</v>
      </c>
      <c r="H28" s="842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948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42">
        <f t="shared" si="1"/>
        <v>0</v>
      </c>
      <c r="H29" s="842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958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842">
        <f t="shared" si="1"/>
        <v>0</v>
      </c>
      <c r="H30" s="842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1091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42">
        <f t="shared" si="1"/>
        <v>0</v>
      </c>
      <c r="H31" s="842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997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842">
        <f t="shared" si="1"/>
        <v>0</v>
      </c>
      <c r="H32" s="842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1015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42">
        <f t="shared" si="1"/>
        <v>0</v>
      </c>
      <c r="H33" s="842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1745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842">
        <f t="shared" si="1"/>
        <v>0</v>
      </c>
      <c r="H34" s="842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939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42">
        <f t="shared" si="1"/>
        <v>0</v>
      </c>
      <c r="H35" s="842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1042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42">
        <f t="shared" si="1"/>
        <v>0</v>
      </c>
      <c r="H36" s="842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954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42">
        <f t="shared" si="1"/>
        <v>0</v>
      </c>
      <c r="H37" s="842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992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42">
        <f t="shared" si="1"/>
        <v>0</v>
      </c>
      <c r="H38" s="842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927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42">
        <f t="shared" si="1"/>
        <v>0</v>
      </c>
      <c r="H39" s="842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976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842">
        <f t="shared" si="1"/>
        <v>0</v>
      </c>
      <c r="H40" s="842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989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42">
        <f t="shared" si="1"/>
        <v>0</v>
      </c>
      <c r="H41" s="842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73" t="s">
        <v>981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42">
        <f t="shared" si="1"/>
        <v>0</v>
      </c>
      <c r="H42" s="842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42">
        <f t="shared" si="1"/>
        <v>0</v>
      </c>
      <c r="H43" s="842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945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42">
        <f t="shared" ref="G44:G48" si="3">ROUND(MAX(C44+E44-D44-F44,0),2)</f>
        <v>0</v>
      </c>
      <c r="H44" s="842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951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42">
        <f t="shared" si="3"/>
        <v>0</v>
      </c>
      <c r="H45" s="842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960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42">
        <f t="shared" si="3"/>
        <v>0</v>
      </c>
      <c r="H46" s="842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1012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42">
        <f t="shared" si="3"/>
        <v>0</v>
      </c>
      <c r="H47" s="842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1022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42">
        <f t="shared" si="3"/>
        <v>0</v>
      </c>
      <c r="H48" s="842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9" activePane="bottomLeft" state="frozen"/>
      <selection activeCell="A6" sqref="A6"/>
      <selection pane="bottomLeft" activeCell="A30" sqref="A30:J4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8" customFormat="1" ht="14.25" customHeight="1">
      <c r="A1" s="632" t="str">
        <f>TH!A1</f>
        <v>Đơn vị: CÔNG TY TNHH SX TM KIM DUNG PHÁT</v>
      </c>
      <c r="B1" s="623"/>
      <c r="C1" s="623"/>
      <c r="G1" s="2"/>
      <c r="H1" s="1007" t="s">
        <v>46</v>
      </c>
      <c r="I1" s="1007"/>
      <c r="J1" s="1007"/>
    </row>
    <row r="2" spans="1:10" s="468" customFormat="1" ht="14.25" customHeight="1">
      <c r="A2" s="631" t="str">
        <f>TH!A2</f>
        <v>Địa chỉ: 1A227/1 Ấp 1, Phạm Văn Hai, Bình Chánh, TPHCM</v>
      </c>
      <c r="B2" s="623"/>
      <c r="C2" s="623"/>
      <c r="G2" s="17"/>
      <c r="H2" s="1008" t="s">
        <v>47</v>
      </c>
      <c r="I2" s="1008"/>
      <c r="J2" s="1008"/>
    </row>
    <row r="3" spans="1:10" s="468" customFormat="1" ht="14.25" customHeight="1">
      <c r="A3" s="625"/>
      <c r="B3" s="623"/>
      <c r="C3" s="623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21" t="s">
        <v>27</v>
      </c>
    </row>
    <row r="6" spans="1:10" s="18" customFormat="1" ht="14.25" customHeight="1">
      <c r="E6" s="621" t="s">
        <v>377</v>
      </c>
    </row>
    <row r="7" spans="1:10" s="18" customFormat="1" ht="14.25" customHeight="1">
      <c r="D7" s="20" t="s">
        <v>45</v>
      </c>
      <c r="E7" s="1010" t="s">
        <v>632</v>
      </c>
      <c r="F7" s="1010"/>
      <c r="G7" s="1010"/>
      <c r="H7" s="1010"/>
    </row>
    <row r="8" spans="1:10" s="18" customFormat="1" ht="14.25" customHeight="1">
      <c r="E8" s="621" t="s">
        <v>29</v>
      </c>
    </row>
    <row r="9" spans="1:10" s="18" customFormat="1" ht="6.75" customHeight="1">
      <c r="B9" s="621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7" t="s">
        <v>20</v>
      </c>
      <c r="B10" s="1006" t="s">
        <v>1</v>
      </c>
      <c r="C10" s="1006"/>
      <c r="D10" s="977" t="s">
        <v>0</v>
      </c>
      <c r="E10" s="977" t="s">
        <v>14</v>
      </c>
      <c r="F10" s="977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7" t="s">
        <v>2</v>
      </c>
      <c r="B12" s="628" t="s">
        <v>3</v>
      </c>
      <c r="C12" s="627" t="s">
        <v>4</v>
      </c>
      <c r="D12" s="627" t="s">
        <v>5</v>
      </c>
      <c r="E12" s="627" t="s">
        <v>6</v>
      </c>
      <c r="F12" s="627">
        <v>1</v>
      </c>
      <c r="G12" s="627">
        <v>2</v>
      </c>
      <c r="H12" s="627">
        <v>3</v>
      </c>
      <c r="I12" s="627">
        <v>4</v>
      </c>
      <c r="J12" s="627">
        <v>5</v>
      </c>
    </row>
    <row r="13" spans="1:10" s="18" customFormat="1" ht="18" customHeight="1">
      <c r="A13" s="627"/>
      <c r="B13" s="627"/>
      <c r="C13" s="627"/>
      <c r="D13" s="23" t="s">
        <v>7</v>
      </c>
      <c r="E13" s="627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40978</v>
      </c>
      <c r="B14" s="9" t="str">
        <f ca="1">IF(ROWS($1:1)&gt;COUNT(Dong14),"",OFFSET(TH!D$1,SMALL(Dong14,ROWS($1:1)),))</f>
        <v>TP/X29</v>
      </c>
      <c r="C14" s="9">
        <f ca="1">IF(ROWS($1:1)&gt;COUNT(Dong14),"",OFFSET(TH!E$1,SMALL(Dong14,ROWS($1:1)),))</f>
        <v>40978</v>
      </c>
      <c r="D14" s="221" t="str">
        <f ca="1">IF(ROWS($1:1)&gt;COUNT(Dong14),"",OFFSET(TH!F$1,SMALL(Dong14,ROWS($1:1)),))</f>
        <v>Thùng (520x265x265)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7930170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7930170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40978</v>
      </c>
      <c r="B15" s="9" t="str">
        <f ca="1">IF(ROWS($1:2)&gt;COUNT(Dong14),"",OFFSET(TH!D$1,SMALL(Dong14,ROWS($1:2)),))</f>
        <v>TP/X29</v>
      </c>
      <c r="C15" s="9">
        <f ca="1">IF(ROWS($1:2)&gt;COUNT(Dong14),"",OFFSET(TH!E$1,SMALL(Dong14,ROWS($1:2)),))</f>
        <v>40978</v>
      </c>
      <c r="D15" s="221" t="str">
        <f ca="1">IF(ROWS($1:2)&gt;COUNT(Dong14),"",OFFSET(TH!F$1,SMALL(Dong14,ROWS($1:2)),))</f>
        <v>Thùng (520x320x210)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8652150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16582320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40978</v>
      </c>
      <c r="B16" s="9" t="str">
        <f ca="1">IF(ROWS($1:3)&gt;COUNT(Dong14),"",OFFSET(TH!D$1,SMALL(Dong14,ROWS($1:3)),))</f>
        <v>TP/X29</v>
      </c>
      <c r="C16" s="9">
        <f ca="1">IF(ROWS($1:3)&gt;COUNT(Dong14),"",OFFSET(TH!E$1,SMALL(Dong14,ROWS($1:3)),))</f>
        <v>40978</v>
      </c>
      <c r="D16" s="221" t="str">
        <f ca="1">IF(ROWS($1:3)&gt;COUNT(Dong14),"",OFFSET(TH!F$1,SMALL(Dong14,ROWS($1:3)),))</f>
        <v>Thùng (500x250x360)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2055830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18638150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40978</v>
      </c>
      <c r="B17" s="9" t="str">
        <f ca="1">IF(ROWS($1:4)&gt;COUNT(Dong14),"",OFFSET(TH!D$1,SMALL(Dong14,ROWS($1:4)),))</f>
        <v>TP/X29</v>
      </c>
      <c r="C17" s="9">
        <f ca="1">IF(ROWS($1:4)&gt;COUNT(Dong14),"",OFFSET(TH!E$1,SMALL(Dong14,ROWS($1:4)),))</f>
        <v>40978</v>
      </c>
      <c r="D17" s="221" t="str">
        <f ca="1">IF(ROWS($1:4)&gt;COUNT(Dong14),"",OFFSET(TH!F$1,SMALL(Dong14,ROWS($1:4)),))</f>
        <v>Thùng (62x51x29)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2930400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21568550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40978</v>
      </c>
      <c r="B18" s="9" t="str">
        <f ca="1">IF(ROWS($1:5)&gt;COUNT(Dong14),"",OFFSET(TH!D$1,SMALL(Dong14,ROWS($1:5)),))</f>
        <v>TP/X29</v>
      </c>
      <c r="C18" s="9">
        <f ca="1">IF(ROWS($1:5)&gt;COUNT(Dong14),"",OFFSET(TH!E$1,SMALL(Dong14,ROWS($1:5)),))</f>
        <v>40978</v>
      </c>
      <c r="D18" s="221" t="str">
        <f ca="1">IF(ROWS($1:5)&gt;COUNT(Dong14),"",OFFSET(TH!F$1,SMALL(Dong14,ROWS($1:5)),))</f>
        <v>VAT thùng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2156855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23725405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40984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40984</v>
      </c>
      <c r="D19" s="221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23725405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40988</v>
      </c>
      <c r="B20" s="9" t="str">
        <f ca="1">IF(ROWS($1:7)&gt;COUNT(Dong14),"",OFFSET(TH!D$1,SMALL(Dong14,ROWS($1:7)),))</f>
        <v>TP/X32</v>
      </c>
      <c r="C20" s="9">
        <f ca="1">IF(ROWS($1:7)&gt;COUNT(Dong14),"",OFFSET(TH!E$1,SMALL(Dong14,ROWS($1:7)),))</f>
        <v>40988</v>
      </c>
      <c r="D20" s="221" t="str">
        <f ca="1">IF(ROWS($1:7)&gt;COUNT(Dong14),"",OFFSET(TH!F$1,SMALL(Dong14,ROWS($1:7)),))</f>
        <v>Thùng (520x245x245)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16716000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16716000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40988</v>
      </c>
      <c r="B21" s="9" t="str">
        <f ca="1">IF(ROWS($1:8)&gt;COUNT(Dong14),"",OFFSET(TH!D$1,SMALL(Dong14,ROWS($1:8)),))</f>
        <v>TP/X32</v>
      </c>
      <c r="C21" s="9">
        <f ca="1">IF(ROWS($1:8)&gt;COUNT(Dong14),"",OFFSET(TH!E$1,SMALL(Dong14,ROWS($1:8)),))</f>
        <v>40988</v>
      </c>
      <c r="D21" s="221" t="str">
        <f ca="1">IF(ROWS($1:8)&gt;COUNT(Dong14),"",OFFSET(TH!F$1,SMALL(Dong14,ROWS($1:8)),))</f>
        <v>Thùng (22,5x22,5x52)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3170956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19886956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40988</v>
      </c>
      <c r="B22" s="9" t="str">
        <f ca="1">IF(ROWS($1:9)&gt;COUNT(Dong14),"",OFFSET(TH!D$1,SMALL(Dong14,ROWS($1:9)),))</f>
        <v>TP/X32</v>
      </c>
      <c r="C22" s="9">
        <f ca="1">IF(ROWS($1:9)&gt;COUNT(Dong14),"",OFFSET(TH!E$1,SMALL(Dong14,ROWS($1:9)),))</f>
        <v>40988</v>
      </c>
      <c r="D22" s="221" t="str">
        <f ca="1">IF(ROWS($1:9)&gt;COUNT(Dong14),"",OFFSET(TH!F$1,SMALL(Dong14,ROWS($1:9)),))</f>
        <v>VAT thùng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1988695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21875651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40994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40994</v>
      </c>
      <c r="D23" s="221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21875651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41033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41033</v>
      </c>
      <c r="D24" s="221" t="str">
        <f ca="1">IF(ROWS($1:11)&gt;COUNT(Dong14),"",OFFSET(TH!F$1,SMALL(Dong14,ROWS($1:11)),))</f>
        <v>Thùng (52x26,5x26,5)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5570370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5570370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41033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41033</v>
      </c>
      <c r="D25" s="221" t="str">
        <f ca="1">IF(ROWS($1:12)&gt;COUNT(Dong14),"",OFFSET(TH!F$1,SMALL(Dong14,ROWS($1:12)),))</f>
        <v>Thùng (52x33x32)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2355696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7926066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41033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41033</v>
      </c>
      <c r="D26" s="221" t="str">
        <f ca="1">IF(ROWS($1:13)&gt;COUNT(Dong14),"",OFFSET(TH!F$1,SMALL(Dong14,ROWS($1:13)),))</f>
        <v>Thùng (50x49x31)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2971546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10897612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41033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41033</v>
      </c>
      <c r="D27" s="221" t="str">
        <f ca="1">IF(ROWS($1:14)&gt;COUNT(Dong14),"",OFFSET(TH!F$1,SMALL(Dong14,ROWS($1:14)),))</f>
        <v>Thùng (52x42x29)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2934360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13831972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41033</v>
      </c>
      <c r="B28" s="9" t="str">
        <f ca="1">IF(ROWS($1:15)&gt;COUNT(Dong14),"",OFFSET(TH!D$1,SMALL(Dong14,ROWS($1:15)),))</f>
        <v>TP/X20</v>
      </c>
      <c r="C28" s="9">
        <f ca="1">IF(ROWS($1:15)&gt;COUNT(Dong14),"",OFFSET(TH!E$1,SMALL(Dong14,ROWS($1:15)),))</f>
        <v>41033</v>
      </c>
      <c r="D28" s="221" t="str">
        <f ca="1">IF(ROWS($1:15)&gt;COUNT(Dong14),"",OFFSET(TH!F$1,SMALL(Dong14,ROWS($1:15)),))</f>
        <v>Thùng (62x51x29)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1065600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14897572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41033</v>
      </c>
      <c r="B29" s="9" t="str">
        <f ca="1">IF(ROWS($1:16)&gt;COUNT(Dong14),"",OFFSET(TH!D$1,SMALL(Dong14,ROWS($1:16)),))</f>
        <v>TP/X20</v>
      </c>
      <c r="C29" s="9">
        <f ca="1">IF(ROWS($1:16)&gt;COUNT(Dong14),"",OFFSET(TH!E$1,SMALL(Dong14,ROWS($1:16)),))</f>
        <v>41033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1489757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16387329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41041</v>
      </c>
      <c r="B30" s="9" t="str">
        <f ca="1">IF(ROWS($1:17)&gt;COUNT(Dong14),"",OFFSET(TH!D$1,SMALL(Dong14,ROWS($1:17)),))</f>
        <v>TP/X26</v>
      </c>
      <c r="C30" s="9">
        <f ca="1">IF(ROWS($1:17)&gt;COUNT(Dong14),"",OFFSET(TH!E$1,SMALL(Dong14,ROWS($1:17)),))</f>
        <v>41041</v>
      </c>
      <c r="D30" s="221" t="str">
        <f ca="1">IF(ROWS($1:17)&gt;COUNT(Dong14),"",OFFSET(TH!F$1,SMALL(Dong14,ROWS($1:17)),))</f>
        <v>Thùng (52x42x29)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266760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16654089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41041</v>
      </c>
      <c r="B31" s="9" t="str">
        <f ca="1">IF(ROWS($1:18)&gt;COUNT(Dong14),"",OFFSET(TH!D$1,SMALL(Dong14,ROWS($1:18)),))</f>
        <v>TP/X26</v>
      </c>
      <c r="C31" s="9">
        <f ca="1">IF(ROWS($1:18)&gt;COUNT(Dong14),"",OFFSET(TH!E$1,SMALL(Dong14,ROWS($1:18)),))</f>
        <v>41041</v>
      </c>
      <c r="D31" s="221" t="str">
        <f ca="1">IF(ROWS($1:18)&gt;COUNT(Dong14),"",OFFSET(TH!F$1,SMALL(Dong14,ROWS($1:18)),))</f>
        <v>Thùng (52x24,5x24,5)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7560000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24214089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41041</v>
      </c>
      <c r="B32" s="9" t="str">
        <f ca="1">IF(ROWS($1:19)&gt;COUNT(Dong14),"",OFFSET(TH!D$1,SMALL(Dong14,ROWS($1:19)),))</f>
        <v>TP/X26</v>
      </c>
      <c r="C32" s="9">
        <f ca="1">IF(ROWS($1:19)&gt;COUNT(Dong14),"",OFFSET(TH!E$1,SMALL(Dong14,ROWS($1:19)),))</f>
        <v>41041</v>
      </c>
      <c r="D32" s="221" t="str">
        <f ca="1">IF(ROWS($1:19)&gt;COUNT(Dong14),"",OFFSET(TH!F$1,SMALL(Dong14,ROWS($1:19)),))</f>
        <v>Thùng (48x40x29)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1800000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26014089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41041</v>
      </c>
      <c r="B33" s="9" t="str">
        <f ca="1">IF(ROWS($1:20)&gt;COUNT(Dong14),"",OFFSET(TH!D$1,SMALL(Dong14,ROWS($1:20)),))</f>
        <v>TP/X26</v>
      </c>
      <c r="C33" s="9">
        <f ca="1">IF(ROWS($1:20)&gt;COUNT(Dong14),"",OFFSET(TH!E$1,SMALL(Dong14,ROWS($1:20)),))</f>
        <v>41041</v>
      </c>
      <c r="D33" s="221" t="str">
        <f ca="1">IF(ROWS($1:20)&gt;COUNT(Dong14),"",OFFSET(TH!F$1,SMALL(Dong14,ROWS($1:20)),))</f>
        <v>Thùng (62x51x29)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1185480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27199569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41041</v>
      </c>
      <c r="B34" s="9" t="str">
        <f ca="1">IF(ROWS($1:21)&gt;COUNT(Dong14),"",OFFSET(TH!D$1,SMALL(Dong14,ROWS($1:21)),))</f>
        <v>TP/X26</v>
      </c>
      <c r="C34" s="9">
        <f ca="1">IF(ROWS($1:21)&gt;COUNT(Dong14),"",OFFSET(TH!E$1,SMALL(Dong14,ROWS($1:21)),))</f>
        <v>41041</v>
      </c>
      <c r="D34" s="221" t="str">
        <f ca="1">IF(ROWS($1:21)&gt;COUNT(Dong14),"",OFFSET(TH!F$1,SMALL(Dong14,ROWS($1:21)),))</f>
        <v>VAT thùng</v>
      </c>
      <c r="E34" s="46" t="str">
        <f ca="1">IF(ROWS($1:21)&gt;COUNT(Dong14),"",IF(OFFSET(TH!L$1,SMALL(Dong14,ROWS($1:21)),)="331",OFFSET(TH!M$1,SMALL(Dong14,ROWS($1:21)),),OFFSET(TH!L$1,SMALL(Dong14,ROWS($1:21)),)))</f>
        <v>131</v>
      </c>
      <c r="F34" s="46"/>
      <c r="G34" s="58">
        <f ca="1">IF(ROWS($1:21)&gt;COUNT(Dong14),"",IF(OFFSET(TH!L$1,SMALL(Dong14,ROWS($1:21)),)="131",OFFSET(TH!K$1,SMALL(Dong14,ROWS($1:21)),),0))</f>
        <v>1081224</v>
      </c>
      <c r="H34" s="58">
        <f ca="1">IF(ROWS($1:21)&gt;COUNT(Dong14),"",IF(OFFSET(TH!M$1,SMALL(Dong14,ROWS($1:21)),)="131",OFFSET(TH!K$1,SMALL(Dong14,ROWS($1:21)),),0))</f>
        <v>0</v>
      </c>
      <c r="I34" s="25">
        <f t="shared" ca="1" si="2"/>
        <v>28280793</v>
      </c>
      <c r="J34" s="25">
        <f t="shared" ca="1" si="3"/>
        <v>0</v>
      </c>
    </row>
    <row r="35" spans="1:11" s="18" customFormat="1" ht="18" customHeight="1">
      <c r="A35" s="9">
        <f ca="1">IF(ROWS($1:22)&gt;COUNT(Dong14),"",OFFSET(TH!C$1,SMALL(Dong14,ROWS($1:22)),))</f>
        <v>41054</v>
      </c>
      <c r="B35" s="9" t="str">
        <f ca="1">IF(ROWS($1:22)&gt;COUNT(Dong14),"",OFFSET(TH!D$1,SMALL(Dong14,ROWS($1:22)),))</f>
        <v>GBC</v>
      </c>
      <c r="C35" s="9">
        <f ca="1">IF(ROWS($1:22)&gt;COUNT(Dong14),"",OFFSET(TH!E$1,SMALL(Dong14,ROWS($1:22)),))</f>
        <v>41054</v>
      </c>
      <c r="D35" s="221" t="str">
        <f ca="1">IF(ROWS($1:22)&gt;COUNT(Dong14),"",OFFSET(TH!F$1,SMALL(Dong14,ROWS($1:22)),))</f>
        <v>Thu tiền hàng</v>
      </c>
      <c r="E35" s="46" t="str">
        <f ca="1">IF(ROWS($1:22)&gt;COUNT(Dong14),"",IF(OFFSET(TH!L$1,SMALL(Dong14,ROWS($1:22)),)="331",OFFSET(TH!M$1,SMALL(Dong14,ROWS($1:22)),),OFFSET(TH!L$1,SMALL(Dong14,ROWS($1:22)),)))</f>
        <v>1121</v>
      </c>
      <c r="F35" s="46"/>
      <c r="G35" s="58">
        <f ca="1">IF(ROWS($1:22)&gt;COUNT(Dong14),"",IF(OFFSET(TH!L$1,SMALL(Dong14,ROWS($1:22)),)="131",OFFSET(TH!K$1,SMALL(Dong14,ROWS($1:22)),),0))</f>
        <v>0</v>
      </c>
      <c r="H35" s="58">
        <f ca="1">IF(ROWS($1:22)&gt;COUNT(Dong14),"",IF(OFFSET(TH!M$1,SMALL(Dong14,ROWS($1:22)),)="131",OFFSET(TH!K$1,SMALL(Dong14,ROWS($1:22)),),0))</f>
        <v>28280776</v>
      </c>
      <c r="I35" s="25">
        <f t="shared" ca="1" si="2"/>
        <v>17</v>
      </c>
      <c r="J35" s="25">
        <f t="shared" ca="1" si="3"/>
        <v>0</v>
      </c>
    </row>
    <row r="36" spans="1:11" s="18" customFormat="1" ht="18" customHeight="1">
      <c r="A36" s="9">
        <f ca="1">IF(ROWS($1:23)&gt;COUNT(Dong14),"",OFFSET(TH!C$1,SMALL(Dong14,ROWS($1:23)),))</f>
        <v>41072</v>
      </c>
      <c r="B36" s="9" t="str">
        <f ca="1">IF(ROWS($1:23)&gt;COUNT(Dong14),"",OFFSET(TH!D$1,SMALL(Dong14,ROWS($1:23)),))</f>
        <v>TP/X51</v>
      </c>
      <c r="C36" s="9">
        <f ca="1">IF(ROWS($1:23)&gt;COUNT(Dong14),"",OFFSET(TH!E$1,SMALL(Dong14,ROWS($1:23)),))</f>
        <v>41072</v>
      </c>
      <c r="D36" s="221" t="str">
        <f ca="1">IF(ROWS($1:23)&gt;COUNT(Dong14),"",OFFSET(TH!F$1,SMALL(Dong14,ROWS($1:23)),))</f>
        <v>Thùng (32x24,5x24,5)</v>
      </c>
      <c r="E36" s="46" t="str">
        <f ca="1">IF(ROWS($1:23)&gt;COUNT(Dong14),"",IF(OFFSET(TH!L$1,SMALL(Dong14,ROWS($1:23)),)="331",OFFSET(TH!M$1,SMALL(Dong14,ROWS($1:23)),),OFFSET(TH!L$1,SMALL(Dong14,ROWS($1:23)),)))</f>
        <v>131</v>
      </c>
      <c r="F36" s="46"/>
      <c r="G36" s="58">
        <f ca="1">IF(ROWS($1:23)&gt;COUNT(Dong14),"",IF(OFFSET(TH!L$1,SMALL(Dong14,ROWS($1:23)),)="131",OFFSET(TH!K$1,SMALL(Dong14,ROWS($1:23)),),0))</f>
        <v>12210000</v>
      </c>
      <c r="H36" s="58">
        <f ca="1">IF(ROWS($1:23)&gt;COUNT(Dong14),"",IF(OFFSET(TH!M$1,SMALL(Dong14,ROWS($1:23)),)="131",OFFSET(TH!K$1,SMALL(Dong14,ROWS($1:23)),),0))</f>
        <v>0</v>
      </c>
      <c r="I36" s="25">
        <f t="shared" ca="1" si="2"/>
        <v>12210017</v>
      </c>
      <c r="J36" s="25">
        <f t="shared" ca="1" si="3"/>
        <v>0</v>
      </c>
    </row>
    <row r="37" spans="1:11" s="18" customFormat="1" ht="18" customHeight="1">
      <c r="A37" s="9">
        <f ca="1">IF(ROWS($1:24)&gt;COUNT(Dong14),"",OFFSET(TH!C$1,SMALL(Dong14,ROWS($1:24)),))</f>
        <v>41072</v>
      </c>
      <c r="B37" s="9" t="str">
        <f ca="1">IF(ROWS($1:24)&gt;COUNT(Dong14),"",OFFSET(TH!D$1,SMALL(Dong14,ROWS($1:24)),))</f>
        <v>TP/X51</v>
      </c>
      <c r="C37" s="9">
        <f ca="1">IF(ROWS($1:24)&gt;COUNT(Dong14),"",OFFSET(TH!E$1,SMALL(Dong14,ROWS($1:24)),))</f>
        <v>41072</v>
      </c>
      <c r="D37" s="221" t="str">
        <f ca="1">IF(ROWS($1:24)&gt;COUNT(Dong14),"",OFFSET(TH!F$1,SMALL(Dong14,ROWS($1:24)),))</f>
        <v>VAT thùng</v>
      </c>
      <c r="E37" s="46" t="str">
        <f ca="1">IF(ROWS($1:24)&gt;COUNT(Dong14),"",IF(OFFSET(TH!L$1,SMALL(Dong14,ROWS($1:24)),)="331",OFFSET(TH!M$1,SMALL(Dong14,ROWS($1:24)),),OFFSET(TH!L$1,SMALL(Dong14,ROWS($1:24)),)))</f>
        <v>131</v>
      </c>
      <c r="F37" s="46"/>
      <c r="G37" s="58">
        <f ca="1">IF(ROWS($1:24)&gt;COUNT(Dong14),"",IF(OFFSET(TH!L$1,SMALL(Dong14,ROWS($1:24)),)="131",OFFSET(TH!K$1,SMALL(Dong14,ROWS($1:24)),),0))</f>
        <v>1221000</v>
      </c>
      <c r="H37" s="58">
        <f ca="1">IF(ROWS($1:24)&gt;COUNT(Dong14),"",IF(OFFSET(TH!M$1,SMALL(Dong14,ROWS($1:24)),)="131",OFFSET(TH!K$1,SMALL(Dong14,ROWS($1:24)),),0))</f>
        <v>0</v>
      </c>
      <c r="I37" s="25">
        <f t="shared" ca="1" si="2"/>
        <v>13431017</v>
      </c>
      <c r="J37" s="25">
        <f t="shared" ca="1" si="3"/>
        <v>0</v>
      </c>
    </row>
    <row r="38" spans="1:11" s="18" customFormat="1" ht="18" customHeight="1">
      <c r="A38" s="9">
        <f ca="1">IF(ROWS($1:25)&gt;COUNT(Dong14),"",OFFSET(TH!C$1,SMALL(Dong14,ROWS($1:25)),))</f>
        <v>41090</v>
      </c>
      <c r="B38" s="9" t="str">
        <f ca="1">IF(ROWS($1:25)&gt;COUNT(Dong14),"",OFFSET(TH!D$1,SMALL(Dong14,ROWS($1:25)),))</f>
        <v>GBC</v>
      </c>
      <c r="C38" s="9">
        <f ca="1">IF(ROWS($1:25)&gt;COUNT(Dong14),"",OFFSET(TH!E$1,SMALL(Dong14,ROWS($1:25)),))</f>
        <v>41090</v>
      </c>
      <c r="D38" s="221" t="str">
        <f ca="1">IF(ROWS($1:25)&gt;COUNT(Dong14),"",OFFSET(TH!F$1,SMALL(Dong14,ROWS($1:25)),))</f>
        <v>Thu tiền hàng</v>
      </c>
      <c r="E38" s="46" t="str">
        <f ca="1">IF(ROWS($1:25)&gt;COUNT(Dong14),"",IF(OFFSET(TH!L$1,SMALL(Dong14,ROWS($1:25)),)="331",OFFSET(TH!M$1,SMALL(Dong14,ROWS($1:25)),),OFFSET(TH!L$1,SMALL(Dong14,ROWS($1:25)),)))</f>
        <v>1121</v>
      </c>
      <c r="F38" s="46"/>
      <c r="G38" s="58">
        <f ca="1">IF(ROWS($1:25)&gt;COUNT(Dong14),"",IF(OFFSET(TH!L$1,SMALL(Dong14,ROWS($1:25)),)="131",OFFSET(TH!K$1,SMALL(Dong14,ROWS($1:25)),),0))</f>
        <v>0</v>
      </c>
      <c r="H38" s="58">
        <f ca="1">IF(ROWS($1:25)&gt;COUNT(Dong14),"",IF(OFFSET(TH!M$1,SMALL(Dong14,ROWS($1:25)),)="131",OFFSET(TH!K$1,SMALL(Dong14,ROWS($1:25)),),0))</f>
        <v>13431000</v>
      </c>
      <c r="I38" s="25">
        <f t="shared" ca="1" si="2"/>
        <v>17</v>
      </c>
      <c r="J38" s="25">
        <f t="shared" ca="1" si="3"/>
        <v>0</v>
      </c>
    </row>
    <row r="39" spans="1:11" s="18" customFormat="1" ht="18" customHeight="1">
      <c r="A39" s="9">
        <f ca="1">IF(ROWS($1:26)&gt;COUNT(Dong14),"",OFFSET(TH!C$1,SMALL(Dong14,ROWS($1:26)),))</f>
        <v>41096</v>
      </c>
      <c r="B39" s="9" t="str">
        <f ca="1">IF(ROWS($1:26)&gt;COUNT(Dong14),"",OFFSET(TH!D$1,SMALL(Dong14,ROWS($1:26)),))</f>
        <v>TP/X06</v>
      </c>
      <c r="C39" s="9">
        <f ca="1">IF(ROWS($1:26)&gt;COUNT(Dong14),"",OFFSET(TH!E$1,SMALL(Dong14,ROWS($1:26)),))</f>
        <v>41096</v>
      </c>
      <c r="D39" s="221" t="str">
        <f ca="1">IF(ROWS($1:26)&gt;COUNT(Dong14),"",OFFSET(TH!F$1,SMALL(Dong14,ROWS($1:26)),))</f>
        <v>Thùng (32x26,5x26,3)</v>
      </c>
      <c r="E39" s="46" t="str">
        <f ca="1">IF(ROWS($1:26)&gt;COUNT(Dong14),"",IF(OFFSET(TH!L$1,SMALL(Dong14,ROWS($1:26)),)="331",OFFSET(TH!M$1,SMALL(Dong14,ROWS($1:26)),),OFFSET(TH!L$1,SMALL(Dong14,ROWS($1:26)),)))</f>
        <v>131</v>
      </c>
      <c r="F39" s="46"/>
      <c r="G39" s="58">
        <f ca="1">IF(ROWS($1:26)&gt;COUNT(Dong14),"",IF(OFFSET(TH!L$1,SMALL(Dong14,ROWS($1:26)),)="131",OFFSET(TH!K$1,SMALL(Dong14,ROWS($1:26)),),0))</f>
        <v>7453600</v>
      </c>
      <c r="H39" s="58">
        <f ca="1">IF(ROWS($1:26)&gt;COUNT(Dong14),"",IF(OFFSET(TH!M$1,SMALL(Dong14,ROWS($1:26)),)="131",OFFSET(TH!K$1,SMALL(Dong14,ROWS($1:26)),),0))</f>
        <v>0</v>
      </c>
      <c r="I39" s="25">
        <f t="shared" ca="1" si="2"/>
        <v>7453617</v>
      </c>
      <c r="J39" s="25">
        <f t="shared" ca="1" si="3"/>
        <v>0</v>
      </c>
    </row>
    <row r="40" spans="1:11" s="18" customFormat="1" ht="18" customHeight="1">
      <c r="A40" s="9">
        <f ca="1">IF(ROWS($1:27)&gt;COUNT(Dong14),"",OFFSET(TH!C$1,SMALL(Dong14,ROWS($1:27)),))</f>
        <v>41096</v>
      </c>
      <c r="B40" s="9" t="str">
        <f ca="1">IF(ROWS($1:27)&gt;COUNT(Dong14),"",OFFSET(TH!D$1,SMALL(Dong14,ROWS($1:27)),))</f>
        <v>TP/X06</v>
      </c>
      <c r="C40" s="9">
        <f ca="1">IF(ROWS($1:27)&gt;COUNT(Dong14),"",OFFSET(TH!E$1,SMALL(Dong14,ROWS($1:27)),))</f>
        <v>41096</v>
      </c>
      <c r="D40" s="221" t="str">
        <f ca="1">IF(ROWS($1:27)&gt;COUNT(Dong14),"",OFFSET(TH!F$1,SMALL(Dong14,ROWS($1:27)),))</f>
        <v>Thùng (62x51x29)</v>
      </c>
      <c r="E40" s="46" t="str">
        <f ca="1">IF(ROWS($1:27)&gt;COUNT(Dong14),"",IF(OFFSET(TH!L$1,SMALL(Dong14,ROWS($1:27)),)="331",OFFSET(TH!M$1,SMALL(Dong14,ROWS($1:27)),),OFFSET(TH!L$1,SMALL(Dong14,ROWS($1:27)),)))</f>
        <v>131</v>
      </c>
      <c r="F40" s="46"/>
      <c r="G40" s="58">
        <f ca="1">IF(ROWS($1:27)&gt;COUNT(Dong14),"",IF(OFFSET(TH!L$1,SMALL(Dong14,ROWS($1:27)),)="131",OFFSET(TH!K$1,SMALL(Dong14,ROWS($1:27)),),0))</f>
        <v>4129200</v>
      </c>
      <c r="H40" s="58">
        <f ca="1">IF(ROWS($1:27)&gt;COUNT(Dong14),"",IF(OFFSET(TH!M$1,SMALL(Dong14,ROWS($1:27)),)="131",OFFSET(TH!K$1,SMALL(Dong14,ROWS($1:27)),),0))</f>
        <v>0</v>
      </c>
      <c r="I40" s="25">
        <f t="shared" ca="1" si="2"/>
        <v>11582817</v>
      </c>
      <c r="J40" s="25">
        <f t="shared" ca="1" si="3"/>
        <v>0</v>
      </c>
    </row>
    <row r="41" spans="1:11" s="18" customFormat="1" ht="18" customHeight="1">
      <c r="A41" s="9">
        <f ca="1">IF(ROWS($1:28)&gt;COUNT(Dong14),"",OFFSET(TH!C$1,SMALL(Dong14,ROWS($1:28)),))</f>
        <v>41096</v>
      </c>
      <c r="B41" s="9" t="str">
        <f ca="1">IF(ROWS($1:28)&gt;COUNT(Dong14),"",OFFSET(TH!D$1,SMALL(Dong14,ROWS($1:28)),))</f>
        <v>TP/X06</v>
      </c>
      <c r="C41" s="9">
        <f ca="1">IF(ROWS($1:28)&gt;COUNT(Dong14),"",OFFSET(TH!E$1,SMALL(Dong14,ROWS($1:28)),))</f>
        <v>41096</v>
      </c>
      <c r="D41" s="221" t="str">
        <f ca="1">IF(ROWS($1:28)&gt;COUNT(Dong14),"",OFFSET(TH!F$1,SMALL(Dong14,ROWS($1:28)),))</f>
        <v>Thùng (22,5x22,5x52)</v>
      </c>
      <c r="E41" s="46" t="str">
        <f ca="1">IF(ROWS($1:28)&gt;COUNT(Dong14),"",IF(OFFSET(TH!L$1,SMALL(Dong14,ROWS($1:28)),)="331",OFFSET(TH!M$1,SMALL(Dong14,ROWS($1:28)),),OFFSET(TH!L$1,SMALL(Dong14,ROWS($1:28)),)))</f>
        <v>131</v>
      </c>
      <c r="F41" s="46"/>
      <c r="G41" s="58">
        <f ca="1">IF(ROWS($1:28)&gt;COUNT(Dong14),"",IF(OFFSET(TH!L$1,SMALL(Dong14,ROWS($1:28)),)="131",OFFSET(TH!K$1,SMALL(Dong14,ROWS($1:28)),),0))</f>
        <v>1639440</v>
      </c>
      <c r="H41" s="58">
        <f ca="1">IF(ROWS($1:28)&gt;COUNT(Dong14),"",IF(OFFSET(TH!M$1,SMALL(Dong14,ROWS($1:28)),)="131",OFFSET(TH!K$1,SMALL(Dong14,ROWS($1:28)),),0))</f>
        <v>0</v>
      </c>
      <c r="I41" s="25">
        <f t="shared" ca="1" si="2"/>
        <v>13222257</v>
      </c>
      <c r="J41" s="25">
        <f t="shared" ca="1" si="3"/>
        <v>0</v>
      </c>
    </row>
    <row r="42" spans="1:11" s="18" customFormat="1" ht="18" customHeight="1">
      <c r="A42" s="9">
        <f ca="1">IF(ROWS($1:29)&gt;COUNT(Dong14),"",OFFSET(TH!C$1,SMALL(Dong14,ROWS($1:29)),))</f>
        <v>41096</v>
      </c>
      <c r="B42" s="9" t="str">
        <f ca="1">IF(ROWS($1:29)&gt;COUNT(Dong14),"",OFFSET(TH!D$1,SMALL(Dong14,ROWS($1:29)),))</f>
        <v>TP/X06</v>
      </c>
      <c r="C42" s="9">
        <f ca="1">IF(ROWS($1:29)&gt;COUNT(Dong14),"",OFFSET(TH!E$1,SMALL(Dong14,ROWS($1:29)),))</f>
        <v>41096</v>
      </c>
      <c r="D42" s="221" t="str">
        <f ca="1">IF(ROWS($1:29)&gt;COUNT(Dong14),"",OFFSET(TH!F$1,SMALL(Dong14,ROWS($1:29)),))</f>
        <v>VAT thùng</v>
      </c>
      <c r="E42" s="46" t="str">
        <f ca="1">IF(ROWS($1:29)&gt;COUNT(Dong14),"",IF(OFFSET(TH!L$1,SMALL(Dong14,ROWS($1:29)),)="331",OFFSET(TH!M$1,SMALL(Dong14,ROWS($1:29)),),OFFSET(TH!L$1,SMALL(Dong14,ROWS($1:29)),)))</f>
        <v>131</v>
      </c>
      <c r="F42" s="46"/>
      <c r="G42" s="58">
        <f ca="1">IF(ROWS($1:29)&gt;COUNT(Dong14),"",IF(OFFSET(TH!L$1,SMALL(Dong14,ROWS($1:29)),)="131",OFFSET(TH!K$1,SMALL(Dong14,ROWS($1:29)),),0))</f>
        <v>1322224</v>
      </c>
      <c r="H42" s="58">
        <f ca="1">IF(ROWS($1:29)&gt;COUNT(Dong14),"",IF(OFFSET(TH!M$1,SMALL(Dong14,ROWS($1:29)),)="131",OFFSET(TH!K$1,SMALL(Dong14,ROWS($1:29)),),0))</f>
        <v>0</v>
      </c>
      <c r="I42" s="25">
        <f t="shared" ca="1" si="2"/>
        <v>14544481</v>
      </c>
      <c r="J42" s="25">
        <f t="shared" ca="1" si="3"/>
        <v>0</v>
      </c>
    </row>
    <row r="43" spans="1:11" s="18" customFormat="1" ht="18" customHeight="1">
      <c r="A43" s="24"/>
      <c r="B43" s="627"/>
      <c r="C43" s="26"/>
      <c r="D43" s="23" t="s">
        <v>33</v>
      </c>
      <c r="E43" s="627" t="s">
        <v>19</v>
      </c>
      <c r="F43" s="627" t="s">
        <v>19</v>
      </c>
      <c r="G43" s="27">
        <f ca="1">SUM(G14:G30)</f>
        <v>62255145</v>
      </c>
      <c r="H43" s="27">
        <f ca="1">SUM(H14:H30)</f>
        <v>45601056</v>
      </c>
      <c r="I43" s="27" t="s">
        <v>19</v>
      </c>
      <c r="J43" s="27" t="s">
        <v>19</v>
      </c>
    </row>
    <row r="44" spans="1:11" s="18" customFormat="1" ht="18" customHeight="1">
      <c r="A44" s="24"/>
      <c r="B44" s="627"/>
      <c r="C44" s="627"/>
      <c r="D44" s="23" t="s">
        <v>10</v>
      </c>
      <c r="E44" s="627" t="s">
        <v>19</v>
      </c>
      <c r="F44" s="627" t="s">
        <v>19</v>
      </c>
      <c r="G44" s="27" t="s">
        <v>19</v>
      </c>
      <c r="H44" s="27" t="s">
        <v>19</v>
      </c>
      <c r="I44" s="27">
        <f ca="1">MAX(I13+G43-H43-J13,0)</f>
        <v>16654089</v>
      </c>
      <c r="J44" s="27">
        <f ca="1">MAX(J13+H43-G43-I13,0)</f>
        <v>0</v>
      </c>
    </row>
    <row r="45" spans="1:11" s="18" customFormat="1" ht="6" customHeight="1">
      <c r="B45" s="621"/>
      <c r="C45" s="621"/>
      <c r="E45" s="621"/>
    </row>
    <row r="46" spans="1:11" s="18" customFormat="1" ht="14.25" customHeight="1">
      <c r="A46" s="28" t="s">
        <v>159</v>
      </c>
      <c r="B46" s="621"/>
      <c r="C46" s="621"/>
      <c r="E46" s="621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10/3/ 2012</v>
      </c>
      <c r="B47" s="621"/>
      <c r="C47" s="621"/>
      <c r="E47" s="621"/>
      <c r="K47" s="28" t="s">
        <v>34</v>
      </c>
    </row>
    <row r="48" spans="1:11" s="18" customFormat="1" ht="14.25" customHeight="1">
      <c r="B48" s="621"/>
      <c r="C48" s="621"/>
      <c r="E48" s="966" t="s">
        <v>147</v>
      </c>
      <c r="F48" s="966"/>
      <c r="G48" s="966"/>
      <c r="H48" s="966"/>
      <c r="I48" s="966"/>
      <c r="J48" s="966"/>
    </row>
    <row r="49" spans="3:10" s="18" customFormat="1" ht="14.25" customHeight="1">
      <c r="C49" s="621" t="s">
        <v>11</v>
      </c>
      <c r="E49" s="966" t="s">
        <v>12</v>
      </c>
      <c r="F49" s="966"/>
      <c r="G49" s="966"/>
      <c r="H49" s="966"/>
      <c r="I49" s="966"/>
      <c r="J49" s="966"/>
    </row>
    <row r="50" spans="3:10" s="18" customFormat="1" ht="14.25" customHeight="1">
      <c r="C50" s="621" t="s">
        <v>13</v>
      </c>
      <c r="E50" s="966" t="s">
        <v>13</v>
      </c>
      <c r="F50" s="966"/>
      <c r="G50" s="966"/>
      <c r="H50" s="966"/>
      <c r="I50" s="966"/>
      <c r="J50" s="966"/>
    </row>
    <row r="51" spans="3:10" s="29" customFormat="1"/>
    <row r="57" spans="3:10" ht="15">
      <c r="C57" s="622" t="s">
        <v>158</v>
      </c>
    </row>
  </sheetData>
  <autoFilter ref="A12:J25"/>
  <mergeCells count="15">
    <mergeCell ref="G10:H10"/>
    <mergeCell ref="I10:J10"/>
    <mergeCell ref="E48:J48"/>
    <mergeCell ref="E49:J49"/>
    <mergeCell ref="E50:J5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99" t="s">
        <v>103</v>
      </c>
      <c r="B1" s="999"/>
      <c r="C1" s="999"/>
      <c r="D1" s="999"/>
      <c r="E1" s="999"/>
      <c r="F1" s="999"/>
      <c r="G1" s="999"/>
      <c r="H1" s="999"/>
    </row>
    <row r="2" spans="1:10" s="10" customFormat="1" ht="14.25" customHeight="1">
      <c r="A2" s="1000" t="s">
        <v>35</v>
      </c>
      <c r="B2" s="1002" t="s">
        <v>36</v>
      </c>
      <c r="C2" s="1004" t="s">
        <v>37</v>
      </c>
      <c r="D2" s="1005"/>
      <c r="E2" s="1004" t="s">
        <v>38</v>
      </c>
      <c r="F2" s="1005"/>
      <c r="G2" s="1004" t="s">
        <v>41</v>
      </c>
      <c r="H2" s="1005"/>
    </row>
    <row r="3" spans="1:10" s="10" customFormat="1" ht="14.25" customHeight="1">
      <c r="A3" s="1001"/>
      <c r="B3" s="1003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3"/>
    </row>
    <row r="8" spans="1:10" s="10" customFormat="1" ht="16.5" customHeight="1">
      <c r="A8" s="6">
        <f t="shared" si="0"/>
        <v>5</v>
      </c>
      <c r="B8" s="7" t="s">
        <v>674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900"/>
    </row>
    <row r="9" spans="1:10" s="10" customFormat="1" ht="16.5" customHeight="1">
      <c r="A9" s="6">
        <f t="shared" si="0"/>
        <v>6</v>
      </c>
      <c r="B9" s="193" t="s">
        <v>757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744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606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825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842">
        <f t="shared" ref="G12:G13" si="7">ROUND(MAX(C12+E12-D12-F12,0),2)</f>
        <v>0</v>
      </c>
      <c r="H12" s="842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851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42">
        <f t="shared" si="7"/>
        <v>0</v>
      </c>
      <c r="H13" s="842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4"/>
      <c r="F14" s="484"/>
      <c r="G14" s="485"/>
      <c r="H14" s="485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2639690710</v>
      </c>
      <c r="F15" s="13">
        <f t="shared" si="9"/>
        <v>2766809779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E15-CDPS!E29</f>
        <v>0</v>
      </c>
      <c r="F16" s="183">
        <f>F15-CDPS!F29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1008" t="s">
        <v>47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436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7" t="s">
        <v>20</v>
      </c>
      <c r="B10" s="1006" t="s">
        <v>1</v>
      </c>
      <c r="C10" s="1006"/>
      <c r="D10" s="977" t="s">
        <v>0</v>
      </c>
      <c r="E10" s="977" t="s">
        <v>14</v>
      </c>
      <c r="F10" s="977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66" t="s">
        <v>147</v>
      </c>
      <c r="F74" s="966"/>
      <c r="G74" s="966"/>
      <c r="H74" s="966"/>
      <c r="I74" s="966"/>
      <c r="J74" s="966"/>
    </row>
    <row r="75" spans="1:11" s="18" customFormat="1" ht="14.25" customHeight="1">
      <c r="C75" s="214" t="s">
        <v>11</v>
      </c>
      <c r="E75" s="966" t="s">
        <v>12</v>
      </c>
      <c r="F75" s="966"/>
      <c r="G75" s="966"/>
      <c r="H75" s="966"/>
      <c r="I75" s="966"/>
      <c r="J75" s="966"/>
    </row>
    <row r="76" spans="1:11" s="18" customFormat="1" ht="14.25" customHeight="1">
      <c r="C76" s="214" t="s">
        <v>13</v>
      </c>
      <c r="E76" s="966" t="s">
        <v>13</v>
      </c>
      <c r="F76" s="966"/>
      <c r="G76" s="966"/>
      <c r="H76" s="966"/>
      <c r="I76" s="966"/>
      <c r="J76" s="966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362" activePane="bottomRight" state="frozen"/>
      <selection activeCell="C33" sqref="C33"/>
      <selection pane="topRight" activeCell="C33" sqref="C33"/>
      <selection pane="bottomLeft" activeCell="C33" sqref="C33"/>
      <selection pane="bottomRight" activeCell="D376" sqref="D376:D586"/>
    </sheetView>
  </sheetViews>
  <sheetFormatPr defaultRowHeight="12.75"/>
  <cols>
    <col min="1" max="1" width="3.7109375" style="288" customWidth="1"/>
    <col min="2" max="2" width="3.42578125" style="288" customWidth="1"/>
    <col min="3" max="3" width="35.140625" style="288" customWidth="1"/>
    <col min="4" max="4" width="7.7109375" style="291" customWidth="1"/>
    <col min="5" max="5" width="9.42578125" style="308" customWidth="1"/>
    <col min="6" max="6" width="12.5703125" style="308" customWidth="1"/>
    <col min="7" max="7" width="9.85546875" style="293" customWidth="1"/>
    <col min="8" max="8" width="15.42578125" style="293" customWidth="1"/>
    <col min="9" max="9" width="11.7109375" style="293" customWidth="1"/>
    <col min="10" max="10" width="13.85546875" style="293" customWidth="1"/>
    <col min="11" max="11" width="12" style="293" customWidth="1"/>
    <col min="12" max="12" width="12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0" customFormat="1" ht="14.25" customHeight="1">
      <c r="B1" s="281" t="s">
        <v>200</v>
      </c>
      <c r="C1" s="282"/>
      <c r="D1" s="282"/>
      <c r="E1" s="282"/>
      <c r="F1" s="283"/>
      <c r="G1" s="283"/>
      <c r="H1" s="1007" t="s">
        <v>201</v>
      </c>
      <c r="I1" s="1007"/>
      <c r="J1" s="1007"/>
      <c r="K1" s="1007"/>
      <c r="L1" s="1007"/>
      <c r="M1" s="784"/>
      <c r="N1" s="785"/>
    </row>
    <row r="2" spans="1:14" s="260" customFormat="1" ht="14.25" customHeight="1">
      <c r="B2" s="284" t="s">
        <v>202</v>
      </c>
      <c r="C2" s="285"/>
      <c r="D2" s="285"/>
      <c r="E2" s="285"/>
      <c r="F2" s="285"/>
      <c r="G2" s="285"/>
      <c r="H2" s="1008" t="s">
        <v>203</v>
      </c>
      <c r="I2" s="1008"/>
      <c r="J2" s="1008"/>
      <c r="K2" s="1008"/>
      <c r="L2" s="1008"/>
      <c r="M2" s="790"/>
      <c r="N2" s="785"/>
    </row>
    <row r="3" spans="1:14" s="260" customFormat="1" ht="14.25" customHeight="1">
      <c r="B3" s="285"/>
      <c r="C3" s="285"/>
      <c r="D3" s="285"/>
      <c r="E3" s="285"/>
      <c r="F3" s="285"/>
      <c r="G3" s="285"/>
      <c r="H3" s="1023" t="s">
        <v>204</v>
      </c>
      <c r="I3" s="1023"/>
      <c r="J3" s="1023"/>
      <c r="K3" s="1023"/>
      <c r="L3" s="1023"/>
      <c r="M3" s="791"/>
      <c r="N3" s="785"/>
    </row>
    <row r="4" spans="1:14" s="286" customFormat="1" ht="27.75" customHeight="1">
      <c r="B4" s="1024" t="s">
        <v>205</v>
      </c>
      <c r="C4" s="1024"/>
      <c r="D4" s="1024"/>
      <c r="E4" s="1024"/>
      <c r="F4" s="1024"/>
      <c r="G4" s="1024"/>
      <c r="H4" s="1024"/>
      <c r="I4" s="1024"/>
      <c r="J4" s="1024"/>
      <c r="K4" s="1024"/>
      <c r="L4" s="1024"/>
      <c r="N4" s="786"/>
    </row>
    <row r="5" spans="1:14" s="286" customFormat="1" ht="15" customHeight="1">
      <c r="B5" s="1022" t="s">
        <v>206</v>
      </c>
      <c r="C5" s="1022"/>
      <c r="D5" s="1022"/>
      <c r="E5" s="1022"/>
      <c r="F5" s="1022"/>
      <c r="G5" s="1022"/>
      <c r="H5" s="1022"/>
      <c r="I5" s="1022"/>
      <c r="J5" s="1022"/>
      <c r="K5" s="1022"/>
      <c r="L5" s="1022"/>
      <c r="N5" s="786"/>
    </row>
    <row r="6" spans="1:14" s="286" customFormat="1" ht="12.75" hidden="1" customHeight="1">
      <c r="B6" s="1022" t="s">
        <v>207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N6" s="786"/>
    </row>
    <row r="7" spans="1:14" s="287" customFormat="1" ht="24" hidden="1" customHeight="1">
      <c r="C7" s="1014" t="s">
        <v>208</v>
      </c>
      <c r="D7" s="1014"/>
      <c r="E7" s="1014"/>
      <c r="F7" s="1014"/>
      <c r="G7" s="1014"/>
      <c r="H7" s="1014"/>
      <c r="I7" s="1014"/>
      <c r="J7" s="1014"/>
      <c r="K7" s="1014"/>
      <c r="L7" s="1014"/>
      <c r="N7" s="787"/>
    </row>
    <row r="8" spans="1:14" ht="20.25" customHeight="1">
      <c r="B8" s="1016" t="s">
        <v>35</v>
      </c>
      <c r="C8" s="1017" t="s">
        <v>209</v>
      </c>
      <c r="D8" s="1018" t="s">
        <v>210</v>
      </c>
      <c r="E8" s="1020" t="s">
        <v>141</v>
      </c>
      <c r="F8" s="1020"/>
      <c r="G8" s="1020"/>
      <c r="H8" s="1020"/>
      <c r="I8" s="1020"/>
      <c r="J8" s="1020"/>
      <c r="K8" s="1020"/>
      <c r="L8" s="1020"/>
    </row>
    <row r="9" spans="1:14" ht="20.25" customHeight="1">
      <c r="B9" s="1016"/>
      <c r="C9" s="1017"/>
      <c r="D9" s="1019"/>
      <c r="E9" s="1020" t="s">
        <v>211</v>
      </c>
      <c r="F9" s="1020"/>
      <c r="G9" s="1021" t="s">
        <v>212</v>
      </c>
      <c r="H9" s="1021"/>
      <c r="I9" s="1021" t="s">
        <v>213</v>
      </c>
      <c r="J9" s="1021"/>
      <c r="K9" s="1021" t="s">
        <v>214</v>
      </c>
      <c r="L9" s="1021"/>
    </row>
    <row r="10" spans="1:14" ht="20.25" hidden="1" customHeight="1">
      <c r="B10" s="1016"/>
      <c r="C10" s="1017"/>
      <c r="D10" s="289"/>
      <c r="E10" s="290" t="s">
        <v>215</v>
      </c>
      <c r="F10" s="290" t="s">
        <v>216</v>
      </c>
      <c r="G10" s="290" t="s">
        <v>215</v>
      </c>
      <c r="H10" s="290" t="s">
        <v>216</v>
      </c>
      <c r="I10" s="290" t="s">
        <v>215</v>
      </c>
      <c r="J10" s="290" t="s">
        <v>216</v>
      </c>
      <c r="K10" s="290" t="s">
        <v>215</v>
      </c>
      <c r="L10" s="290" t="s">
        <v>216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88"/>
    </row>
    <row r="12" spans="1:14" ht="18" customHeight="1">
      <c r="A12" s="293" t="str">
        <f t="shared" ref="A12:A16" si="0">IF(B12&lt;&gt;"","VL","")</f>
        <v>VL</v>
      </c>
      <c r="B12" s="294">
        <f>IF(C12&lt;&gt;"",ROW()-11,"")</f>
        <v>1</v>
      </c>
      <c r="C12" s="189" t="s">
        <v>403</v>
      </c>
      <c r="D12" s="296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3"/>
    </row>
    <row r="13" spans="1:14" ht="18" customHeight="1">
      <c r="A13" s="293" t="str">
        <f t="shared" si="0"/>
        <v>VL</v>
      </c>
      <c r="B13" s="294">
        <f>IF(C13&lt;&gt;"",ROW()-11,"")</f>
        <v>2</v>
      </c>
      <c r="C13" s="189" t="s">
        <v>370</v>
      </c>
      <c r="D13" s="296" t="s">
        <v>369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168</v>
      </c>
      <c r="J13" s="25">
        <f t="array" ref="J13">SUM(IF("1522"&amp;C13=KHC&amp;MH,TH))</f>
        <v>7056000</v>
      </c>
      <c r="K13" s="8">
        <f t="shared" si="1"/>
        <v>24</v>
      </c>
      <c r="L13" s="8">
        <f t="shared" si="1"/>
        <v>1008000</v>
      </c>
      <c r="M13" s="293"/>
    </row>
    <row r="14" spans="1:14" ht="18" customHeight="1">
      <c r="A14" s="293" t="str">
        <f t="shared" si="0"/>
        <v>VL</v>
      </c>
      <c r="B14" s="294">
        <f>IF(C14&lt;&gt;"",ROW()-11,"")</f>
        <v>3</v>
      </c>
      <c r="C14" s="867" t="s">
        <v>742</v>
      </c>
      <c r="D14" s="296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3"/>
    </row>
    <row r="15" spans="1:14" ht="18.75" customHeight="1">
      <c r="A15" s="293" t="str">
        <f t="shared" si="0"/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 t="shared" si="0"/>
        <v/>
      </c>
      <c r="B16" s="292"/>
      <c r="C16" s="301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104713</v>
      </c>
      <c r="H16" s="13">
        <f t="shared" si="2"/>
        <v>44094250</v>
      </c>
      <c r="I16" s="13">
        <f t="shared" si="2"/>
        <v>104689</v>
      </c>
      <c r="J16" s="13">
        <f t="shared" si="2"/>
        <v>43086250</v>
      </c>
      <c r="K16" s="13">
        <f t="shared" si="2"/>
        <v>74</v>
      </c>
      <c r="L16" s="13">
        <f t="shared" si="2"/>
        <v>2258000</v>
      </c>
      <c r="M16" s="293"/>
    </row>
    <row r="17" spans="1:13" ht="18.75" customHeight="1">
      <c r="A17" s="293"/>
      <c r="B17" s="481"/>
      <c r="C17" s="482"/>
      <c r="D17" s="483"/>
      <c r="E17" s="483"/>
      <c r="F17" s="483">
        <f>F16-CDPS!C21</f>
        <v>0</v>
      </c>
      <c r="G17" s="483"/>
      <c r="H17" s="483">
        <f>H16-CDPS!E21</f>
        <v>0</v>
      </c>
      <c r="I17" s="483"/>
      <c r="J17" s="483">
        <f>J16-CDPS!F21</f>
        <v>0</v>
      </c>
      <c r="K17" s="483"/>
      <c r="L17" s="483">
        <f>L16-CDPS!G21</f>
        <v>0</v>
      </c>
      <c r="M17" s="293"/>
    </row>
    <row r="18" spans="1:13" ht="18.75" customHeight="1">
      <c r="A18" s="293" t="str">
        <f t="shared" ref="A18" si="3">IF(B18&lt;&gt;"","NL","")</f>
        <v>NL</v>
      </c>
      <c r="B18" s="480">
        <f t="shared" ref="B18" si="4">IF(C18&lt;&gt;"",B17+1,"")</f>
        <v>1</v>
      </c>
      <c r="C18" s="192" t="s">
        <v>1240</v>
      </c>
      <c r="D18" s="296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3"/>
    </row>
    <row r="19" spans="1:13" ht="18.75" customHeight="1">
      <c r="A19" s="293" t="str">
        <f t="shared" ref="A19:A73" si="7">IF(B19&lt;&gt;"","NL","")</f>
        <v>NL</v>
      </c>
      <c r="B19" s="480">
        <f t="shared" ref="B19:B73" si="8">IF(C19&lt;&gt;"",B18+1,"")</f>
        <v>2</v>
      </c>
      <c r="C19" s="192" t="s">
        <v>564</v>
      </c>
      <c r="D19" s="296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3"/>
    </row>
    <row r="20" spans="1:13" ht="18" customHeight="1">
      <c r="A20" s="293" t="str">
        <f t="shared" ref="A20:A27" si="11">IF(B20&lt;&gt;"","NL","")</f>
        <v>NL</v>
      </c>
      <c r="B20" s="480">
        <f t="shared" ref="B20:B27" si="12">IF(C20&lt;&gt;"",B19+1,"")</f>
        <v>3</v>
      </c>
      <c r="C20" s="192" t="s">
        <v>767</v>
      </c>
      <c r="D20" s="296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3"/>
    </row>
    <row r="21" spans="1:13" ht="18" customHeight="1">
      <c r="A21" s="293" t="str">
        <f t="shared" si="11"/>
        <v>NL</v>
      </c>
      <c r="B21" s="480">
        <f t="shared" si="12"/>
        <v>4</v>
      </c>
      <c r="C21" s="192" t="s">
        <v>904</v>
      </c>
      <c r="D21" s="296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3"/>
    </row>
    <row r="22" spans="1:13" ht="18" customHeight="1">
      <c r="A22" s="293" t="str">
        <f t="shared" si="11"/>
        <v>NL</v>
      </c>
      <c r="B22" s="480">
        <f t="shared" si="12"/>
        <v>5</v>
      </c>
      <c r="C22" s="192" t="s">
        <v>900</v>
      </c>
      <c r="D22" s="296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3"/>
    </row>
    <row r="23" spans="1:13" ht="18" customHeight="1">
      <c r="A23" s="293" t="str">
        <f t="shared" si="11"/>
        <v>NL</v>
      </c>
      <c r="B23" s="480">
        <f t="shared" si="12"/>
        <v>6</v>
      </c>
      <c r="C23" s="192" t="s">
        <v>906</v>
      </c>
      <c r="D23" s="296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3"/>
    </row>
    <row r="24" spans="1:13" ht="18" customHeight="1">
      <c r="A24" s="293" t="str">
        <f t="shared" si="11"/>
        <v>NL</v>
      </c>
      <c r="B24" s="480">
        <f t="shared" si="12"/>
        <v>7</v>
      </c>
      <c r="C24" s="192" t="s">
        <v>903</v>
      </c>
      <c r="D24" s="296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3"/>
    </row>
    <row r="25" spans="1:13" ht="18" customHeight="1">
      <c r="A25" s="293" t="str">
        <f t="shared" si="11"/>
        <v>NL</v>
      </c>
      <c r="B25" s="480">
        <f t="shared" si="12"/>
        <v>8</v>
      </c>
      <c r="C25" s="192" t="s">
        <v>901</v>
      </c>
      <c r="D25" s="296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3"/>
    </row>
    <row r="26" spans="1:13" ht="18" customHeight="1">
      <c r="A26" s="293" t="str">
        <f t="shared" si="11"/>
        <v>NL</v>
      </c>
      <c r="B26" s="480">
        <f t="shared" si="12"/>
        <v>9</v>
      </c>
      <c r="C26" s="192" t="s">
        <v>907</v>
      </c>
      <c r="D26" s="296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3"/>
    </row>
    <row r="27" spans="1:13" ht="18" customHeight="1">
      <c r="A27" s="293" t="str">
        <f t="shared" si="11"/>
        <v>NL</v>
      </c>
      <c r="B27" s="480">
        <f t="shared" si="12"/>
        <v>10</v>
      </c>
      <c r="C27" s="192" t="s">
        <v>898</v>
      </c>
      <c r="D27" s="296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3"/>
    </row>
    <row r="28" spans="1:13" ht="18" customHeight="1">
      <c r="A28" s="293" t="str">
        <f t="shared" si="7"/>
        <v>NL</v>
      </c>
      <c r="B28" s="294">
        <f t="shared" si="8"/>
        <v>11</v>
      </c>
      <c r="C28" s="192" t="s">
        <v>917</v>
      </c>
      <c r="D28" s="296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3"/>
    </row>
    <row r="29" spans="1:13" ht="18" customHeight="1">
      <c r="A29" s="293" t="str">
        <f t="shared" si="7"/>
        <v>NL</v>
      </c>
      <c r="B29" s="294">
        <f t="shared" si="8"/>
        <v>12</v>
      </c>
      <c r="C29" s="189" t="s">
        <v>644</v>
      </c>
      <c r="D29" s="296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3"/>
    </row>
    <row r="30" spans="1:13" ht="18" customHeight="1">
      <c r="A30" s="293" t="str">
        <f t="shared" si="7"/>
        <v>NL</v>
      </c>
      <c r="B30" s="294">
        <f t="shared" si="8"/>
        <v>13</v>
      </c>
      <c r="C30" s="192" t="s">
        <v>655</v>
      </c>
      <c r="D30" s="296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3"/>
    </row>
    <row r="31" spans="1:13" ht="18" customHeight="1">
      <c r="A31" s="293" t="str">
        <f t="shared" si="7"/>
        <v>NL</v>
      </c>
      <c r="B31" s="294">
        <f t="shared" si="8"/>
        <v>14</v>
      </c>
      <c r="C31" s="189" t="s">
        <v>648</v>
      </c>
      <c r="D31" s="296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3"/>
    </row>
    <row r="32" spans="1:13" ht="18" customHeight="1">
      <c r="A32" s="293" t="str">
        <f t="shared" si="7"/>
        <v>NL</v>
      </c>
      <c r="B32" s="294">
        <f t="shared" si="8"/>
        <v>15</v>
      </c>
      <c r="C32" s="189" t="s">
        <v>647</v>
      </c>
      <c r="D32" s="296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3"/>
    </row>
    <row r="33" spans="1:13" ht="18" customHeight="1">
      <c r="A33" s="293" t="str">
        <f t="shared" si="7"/>
        <v>NL</v>
      </c>
      <c r="B33" s="294">
        <f t="shared" si="8"/>
        <v>16</v>
      </c>
      <c r="C33" s="189" t="s">
        <v>649</v>
      </c>
      <c r="D33" s="296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3"/>
    </row>
    <row r="34" spans="1:13" ht="18" customHeight="1">
      <c r="A34" s="293" t="str">
        <f t="shared" si="7"/>
        <v>NL</v>
      </c>
      <c r="B34" s="294">
        <f t="shared" si="8"/>
        <v>17</v>
      </c>
      <c r="C34" s="192" t="s">
        <v>628</v>
      </c>
      <c r="D34" s="296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3"/>
    </row>
    <row r="35" spans="1:13" ht="18" customHeight="1">
      <c r="A35" s="293" t="str">
        <f t="shared" si="7"/>
        <v>NL</v>
      </c>
      <c r="B35" s="294">
        <f t="shared" si="8"/>
        <v>18</v>
      </c>
      <c r="C35" s="189" t="s">
        <v>651</v>
      </c>
      <c r="D35" s="296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3"/>
    </row>
    <row r="36" spans="1:13" ht="18" customHeight="1">
      <c r="A36" s="293" t="str">
        <f t="shared" si="7"/>
        <v>NL</v>
      </c>
      <c r="B36" s="294">
        <f t="shared" si="8"/>
        <v>19</v>
      </c>
      <c r="C36" s="189" t="s">
        <v>650</v>
      </c>
      <c r="D36" s="296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3"/>
    </row>
    <row r="37" spans="1:13" ht="18" customHeight="1">
      <c r="A37" s="293" t="str">
        <f t="shared" si="7"/>
        <v>NL</v>
      </c>
      <c r="B37" s="837">
        <f t="shared" si="8"/>
        <v>20</v>
      </c>
      <c r="C37" s="297" t="s">
        <v>1575</v>
      </c>
      <c r="D37" s="296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3"/>
    </row>
    <row r="38" spans="1:13" ht="18" customHeight="1">
      <c r="A38" s="293" t="str">
        <f t="shared" si="7"/>
        <v>NL</v>
      </c>
      <c r="B38" s="294">
        <f t="shared" si="8"/>
        <v>21</v>
      </c>
      <c r="C38" s="192" t="s">
        <v>660</v>
      </c>
      <c r="D38" s="296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3"/>
    </row>
    <row r="39" spans="1:13" ht="18" customHeight="1">
      <c r="A39" s="293" t="str">
        <f t="shared" si="7"/>
        <v>NL</v>
      </c>
      <c r="B39" s="294">
        <f t="shared" si="8"/>
        <v>22</v>
      </c>
      <c r="C39" s="189" t="s">
        <v>607</v>
      </c>
      <c r="D39" s="296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3"/>
    </row>
    <row r="40" spans="1:13" ht="18" customHeight="1">
      <c r="A40" s="293" t="str">
        <f t="shared" si="7"/>
        <v>NL</v>
      </c>
      <c r="B40" s="294">
        <f t="shared" si="8"/>
        <v>23</v>
      </c>
      <c r="C40" s="189" t="s">
        <v>618</v>
      </c>
      <c r="D40" s="296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3"/>
    </row>
    <row r="41" spans="1:13" ht="18" customHeight="1">
      <c r="A41" s="293" t="str">
        <f t="shared" si="7"/>
        <v>NL</v>
      </c>
      <c r="B41" s="294">
        <f t="shared" si="8"/>
        <v>24</v>
      </c>
      <c r="C41" s="192" t="s">
        <v>667</v>
      </c>
      <c r="D41" s="296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3"/>
    </row>
    <row r="42" spans="1:13" ht="18" customHeight="1">
      <c r="A42" s="293" t="str">
        <f t="shared" si="7"/>
        <v>NL</v>
      </c>
      <c r="B42" s="294">
        <f t="shared" si="8"/>
        <v>25</v>
      </c>
      <c r="C42" s="189" t="s">
        <v>616</v>
      </c>
      <c r="D42" s="296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3"/>
    </row>
    <row r="43" spans="1:13" ht="18" customHeight="1">
      <c r="A43" s="293" t="str">
        <f t="shared" si="7"/>
        <v>NL</v>
      </c>
      <c r="B43" s="294">
        <f t="shared" si="8"/>
        <v>26</v>
      </c>
      <c r="C43" s="189" t="s">
        <v>642</v>
      </c>
      <c r="D43" s="296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3"/>
    </row>
    <row r="44" spans="1:13" ht="18" customHeight="1">
      <c r="A44" s="293" t="str">
        <f t="shared" si="7"/>
        <v>NL</v>
      </c>
      <c r="B44" s="294">
        <f t="shared" si="8"/>
        <v>27</v>
      </c>
      <c r="C44" s="189" t="s">
        <v>617</v>
      </c>
      <c r="D44" s="296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3"/>
    </row>
    <row r="45" spans="1:13" ht="18" customHeight="1">
      <c r="A45" s="293" t="str">
        <f t="shared" si="7"/>
        <v>NL</v>
      </c>
      <c r="B45" s="294">
        <f t="shared" si="8"/>
        <v>28</v>
      </c>
      <c r="C45" s="189" t="s">
        <v>612</v>
      </c>
      <c r="D45" s="296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3"/>
    </row>
    <row r="46" spans="1:13" ht="18" customHeight="1">
      <c r="A46" s="293" t="str">
        <f t="shared" si="7"/>
        <v>NL</v>
      </c>
      <c r="B46" s="294">
        <f t="shared" si="8"/>
        <v>29</v>
      </c>
      <c r="C46" s="192" t="s">
        <v>662</v>
      </c>
      <c r="D46" s="296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3"/>
    </row>
    <row r="47" spans="1:13" ht="18" customHeight="1">
      <c r="A47" s="293" t="str">
        <f t="shared" si="7"/>
        <v>NL</v>
      </c>
      <c r="B47" s="294">
        <f t="shared" si="8"/>
        <v>30</v>
      </c>
      <c r="C47" s="189" t="s">
        <v>610</v>
      </c>
      <c r="D47" s="296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3"/>
    </row>
    <row r="48" spans="1:13" ht="18" customHeight="1">
      <c r="A48" s="293" t="str">
        <f t="shared" si="7"/>
        <v>NL</v>
      </c>
      <c r="B48" s="294">
        <f t="shared" si="8"/>
        <v>31</v>
      </c>
      <c r="C48" s="189" t="s">
        <v>604</v>
      </c>
      <c r="D48" s="296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3"/>
    </row>
    <row r="49" spans="1:13" ht="18" customHeight="1">
      <c r="A49" s="293" t="str">
        <f t="shared" si="7"/>
        <v>NL</v>
      </c>
      <c r="B49" s="294">
        <f t="shared" si="8"/>
        <v>32</v>
      </c>
      <c r="C49" s="189" t="s">
        <v>613</v>
      </c>
      <c r="D49" s="296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3"/>
    </row>
    <row r="50" spans="1:13" ht="18" customHeight="1">
      <c r="A50" s="293" t="str">
        <f t="shared" si="7"/>
        <v>NL</v>
      </c>
      <c r="B50" s="294">
        <f t="shared" si="8"/>
        <v>33</v>
      </c>
      <c r="C50" s="189" t="s">
        <v>608</v>
      </c>
      <c r="D50" s="296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3"/>
    </row>
    <row r="51" spans="1:13" ht="18" customHeight="1">
      <c r="A51" s="293" t="str">
        <f t="shared" si="7"/>
        <v>NL</v>
      </c>
      <c r="B51" s="294">
        <f t="shared" si="8"/>
        <v>34</v>
      </c>
      <c r="C51" s="189" t="s">
        <v>609</v>
      </c>
      <c r="D51" s="296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3"/>
    </row>
    <row r="52" spans="1:13" ht="18" customHeight="1">
      <c r="A52" s="293" t="str">
        <f t="shared" si="7"/>
        <v>NL</v>
      </c>
      <c r="B52" s="294">
        <f t="shared" si="8"/>
        <v>35</v>
      </c>
      <c r="C52" s="189" t="s">
        <v>611</v>
      </c>
      <c r="D52" s="296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3"/>
    </row>
    <row r="53" spans="1:13" ht="18" customHeight="1">
      <c r="A53" s="293" t="str">
        <f t="shared" si="7"/>
        <v>NL</v>
      </c>
      <c r="B53" s="294">
        <f t="shared" si="8"/>
        <v>36</v>
      </c>
      <c r="C53" s="189" t="s">
        <v>614</v>
      </c>
      <c r="D53" s="296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3"/>
    </row>
    <row r="54" spans="1:13" ht="18" customHeight="1">
      <c r="A54" s="293" t="str">
        <f t="shared" si="7"/>
        <v>NL</v>
      </c>
      <c r="B54" s="294">
        <f t="shared" si="8"/>
        <v>37</v>
      </c>
      <c r="C54" s="189" t="s">
        <v>615</v>
      </c>
      <c r="D54" s="296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3"/>
    </row>
    <row r="55" spans="1:13" ht="18" customHeight="1">
      <c r="A55" s="293" t="str">
        <f t="shared" si="7"/>
        <v>NL</v>
      </c>
      <c r="B55" s="294">
        <f t="shared" si="8"/>
        <v>38</v>
      </c>
      <c r="C55" s="189" t="s">
        <v>653</v>
      </c>
      <c r="D55" s="296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3"/>
    </row>
    <row r="56" spans="1:13" ht="18" customHeight="1">
      <c r="A56" s="293" t="str">
        <f t="shared" si="7"/>
        <v>NL</v>
      </c>
      <c r="B56" s="294">
        <f t="shared" si="8"/>
        <v>39</v>
      </c>
      <c r="C56" s="192" t="s">
        <v>669</v>
      </c>
      <c r="D56" s="296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3"/>
    </row>
    <row r="57" spans="1:13" ht="18" customHeight="1">
      <c r="A57" s="293" t="str">
        <f t="shared" si="7"/>
        <v>NL</v>
      </c>
      <c r="B57" s="294">
        <f t="shared" si="8"/>
        <v>40</v>
      </c>
      <c r="C57" s="189" t="s">
        <v>639</v>
      </c>
      <c r="D57" s="296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3"/>
    </row>
    <row r="58" spans="1:13" ht="18" customHeight="1">
      <c r="A58" s="293" t="str">
        <f t="shared" si="7"/>
        <v>NL</v>
      </c>
      <c r="B58" s="294">
        <f t="shared" si="8"/>
        <v>41</v>
      </c>
      <c r="C58" s="192" t="s">
        <v>654</v>
      </c>
      <c r="D58" s="296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3"/>
    </row>
    <row r="59" spans="1:13" ht="18" customHeight="1">
      <c r="A59" s="293" t="str">
        <f t="shared" si="7"/>
        <v>NL</v>
      </c>
      <c r="B59" s="294">
        <f t="shared" si="8"/>
        <v>42</v>
      </c>
      <c r="C59" s="189" t="s">
        <v>637</v>
      </c>
      <c r="D59" s="296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3"/>
    </row>
    <row r="60" spans="1:13" ht="18" customHeight="1">
      <c r="A60" s="293" t="str">
        <f t="shared" si="7"/>
        <v>NL</v>
      </c>
      <c r="B60" s="294">
        <f t="shared" si="8"/>
        <v>43</v>
      </c>
      <c r="C60" s="189" t="s">
        <v>638</v>
      </c>
      <c r="D60" s="296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3"/>
    </row>
    <row r="61" spans="1:13" ht="18" customHeight="1">
      <c r="A61" s="293" t="str">
        <f t="shared" si="7"/>
        <v>NL</v>
      </c>
      <c r="B61" s="294">
        <f t="shared" si="8"/>
        <v>44</v>
      </c>
      <c r="C61" s="192" t="s">
        <v>671</v>
      </c>
      <c r="D61" s="296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3"/>
    </row>
    <row r="62" spans="1:13" ht="18" customHeight="1">
      <c r="A62" s="293" t="str">
        <f t="shared" si="7"/>
        <v>NL</v>
      </c>
      <c r="B62" s="294">
        <f t="shared" si="8"/>
        <v>45</v>
      </c>
      <c r="C62" s="189" t="s">
        <v>646</v>
      </c>
      <c r="D62" s="296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3"/>
    </row>
    <row r="63" spans="1:13" ht="18" customHeight="1">
      <c r="A63" s="293" t="str">
        <f t="shared" si="7"/>
        <v>NL</v>
      </c>
      <c r="B63" s="294">
        <f t="shared" si="8"/>
        <v>46</v>
      </c>
      <c r="C63" s="189" t="s">
        <v>640</v>
      </c>
      <c r="D63" s="296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3"/>
    </row>
    <row r="64" spans="1:13" ht="18" customHeight="1">
      <c r="A64" s="293" t="str">
        <f t="shared" si="7"/>
        <v>NL</v>
      </c>
      <c r="B64" s="294">
        <f t="shared" si="8"/>
        <v>47</v>
      </c>
      <c r="C64" s="192" t="s">
        <v>657</v>
      </c>
      <c r="D64" s="296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3"/>
    </row>
    <row r="65" spans="1:13" ht="18" customHeight="1">
      <c r="A65" s="293" t="str">
        <f t="shared" si="7"/>
        <v>NL</v>
      </c>
      <c r="B65" s="294">
        <f t="shared" si="8"/>
        <v>48</v>
      </c>
      <c r="C65" s="192" t="s">
        <v>661</v>
      </c>
      <c r="D65" s="296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3"/>
    </row>
    <row r="66" spans="1:13" ht="18" customHeight="1">
      <c r="A66" s="293" t="str">
        <f t="shared" si="7"/>
        <v>NL</v>
      </c>
      <c r="B66" s="294">
        <f t="shared" si="8"/>
        <v>49</v>
      </c>
      <c r="C66" s="192" t="s">
        <v>656</v>
      </c>
      <c r="D66" s="296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3"/>
    </row>
    <row r="67" spans="1:13" ht="18" customHeight="1">
      <c r="A67" s="293" t="str">
        <f t="shared" si="7"/>
        <v>NL</v>
      </c>
      <c r="B67" s="294">
        <f t="shared" si="8"/>
        <v>50</v>
      </c>
      <c r="C67" s="189" t="s">
        <v>643</v>
      </c>
      <c r="D67" s="296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3"/>
    </row>
    <row r="68" spans="1:13" ht="18" customHeight="1">
      <c r="A68" s="293" t="str">
        <f t="shared" si="7"/>
        <v>NL</v>
      </c>
      <c r="B68" s="294">
        <f t="shared" si="8"/>
        <v>51</v>
      </c>
      <c r="C68" s="192" t="s">
        <v>918</v>
      </c>
      <c r="D68" s="296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3"/>
    </row>
    <row r="69" spans="1:13" ht="18" customHeight="1">
      <c r="A69" s="293" t="str">
        <f t="shared" si="7"/>
        <v>NL</v>
      </c>
      <c r="B69" s="294">
        <f t="shared" si="8"/>
        <v>52</v>
      </c>
      <c r="C69" s="192" t="s">
        <v>658</v>
      </c>
      <c r="D69" s="296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3"/>
    </row>
    <row r="70" spans="1:13" ht="18" customHeight="1">
      <c r="A70" s="293" t="str">
        <f t="shared" si="7"/>
        <v>NL</v>
      </c>
      <c r="B70" s="294">
        <f t="shared" si="8"/>
        <v>53</v>
      </c>
      <c r="C70" s="189" t="s">
        <v>636</v>
      </c>
      <c r="D70" s="296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3"/>
    </row>
    <row r="71" spans="1:13" ht="18" customHeight="1">
      <c r="A71" s="293" t="str">
        <f t="shared" si="7"/>
        <v>NL</v>
      </c>
      <c r="B71" s="294">
        <f t="shared" si="8"/>
        <v>54</v>
      </c>
      <c r="C71" s="192" t="s">
        <v>663</v>
      </c>
      <c r="D71" s="296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3"/>
    </row>
    <row r="72" spans="1:13" ht="18" customHeight="1">
      <c r="A72" s="293" t="str">
        <f t="shared" si="7"/>
        <v>NL</v>
      </c>
      <c r="B72" s="294">
        <f t="shared" si="8"/>
        <v>55</v>
      </c>
      <c r="C72" s="189" t="s">
        <v>631</v>
      </c>
      <c r="D72" s="296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3"/>
    </row>
    <row r="73" spans="1:13" ht="18" customHeight="1">
      <c r="A73" s="293" t="str">
        <f t="shared" si="7"/>
        <v>NL</v>
      </c>
      <c r="B73" s="294">
        <f t="shared" si="8"/>
        <v>56</v>
      </c>
      <c r="C73" s="192" t="s">
        <v>659</v>
      </c>
      <c r="D73" s="296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3"/>
    </row>
    <row r="74" spans="1:13" ht="18" customHeight="1">
      <c r="A74" s="293" t="str">
        <f t="shared" ref="A74:A137" si="13">IF(B74&lt;&gt;"","NL","")</f>
        <v>NL</v>
      </c>
      <c r="B74" s="294">
        <f t="shared" ref="B74:B137" si="14">IF(C74&lt;&gt;"",B73+1,"")</f>
        <v>57</v>
      </c>
      <c r="C74" s="192" t="s">
        <v>664</v>
      </c>
      <c r="D74" s="296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3"/>
    </row>
    <row r="75" spans="1:13" ht="18" customHeight="1">
      <c r="A75" s="293" t="str">
        <f t="shared" si="13"/>
        <v>NL</v>
      </c>
      <c r="B75" s="294">
        <f t="shared" si="14"/>
        <v>58</v>
      </c>
      <c r="C75" s="192" t="s">
        <v>666</v>
      </c>
      <c r="D75" s="296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3"/>
    </row>
    <row r="76" spans="1:13" ht="18" customHeight="1">
      <c r="A76" s="293" t="str">
        <f t="shared" si="13"/>
        <v>NL</v>
      </c>
      <c r="B76" s="294">
        <f t="shared" si="14"/>
        <v>59</v>
      </c>
      <c r="C76" s="192" t="s">
        <v>915</v>
      </c>
      <c r="D76" s="296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3"/>
    </row>
    <row r="77" spans="1:13" ht="18" customHeight="1">
      <c r="A77" s="293" t="str">
        <f t="shared" si="13"/>
        <v>NL</v>
      </c>
      <c r="B77" s="294">
        <f t="shared" si="14"/>
        <v>60</v>
      </c>
      <c r="C77" s="189" t="s">
        <v>630</v>
      </c>
      <c r="D77" s="296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3"/>
    </row>
    <row r="78" spans="1:13" ht="18" customHeight="1">
      <c r="A78" s="293" t="str">
        <f t="shared" si="13"/>
        <v>NL</v>
      </c>
      <c r="B78" s="294">
        <f t="shared" si="14"/>
        <v>61</v>
      </c>
      <c r="C78" s="189" t="s">
        <v>652</v>
      </c>
      <c r="D78" s="296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3"/>
    </row>
    <row r="79" spans="1:13" ht="18" customHeight="1">
      <c r="A79" s="293" t="str">
        <f t="shared" si="13"/>
        <v>NL</v>
      </c>
      <c r="B79" s="294">
        <f t="shared" si="14"/>
        <v>62</v>
      </c>
      <c r="C79" s="189" t="s">
        <v>641</v>
      </c>
      <c r="D79" s="296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3"/>
    </row>
    <row r="80" spans="1:13" ht="18" customHeight="1">
      <c r="A80" s="293" t="str">
        <f t="shared" si="13"/>
        <v>NL</v>
      </c>
      <c r="B80" s="294">
        <f t="shared" si="14"/>
        <v>63</v>
      </c>
      <c r="C80" s="189" t="s">
        <v>634</v>
      </c>
      <c r="D80" s="296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3"/>
    </row>
    <row r="81" spans="1:13" ht="18" customHeight="1">
      <c r="A81" s="293" t="str">
        <f t="shared" si="13"/>
        <v>NL</v>
      </c>
      <c r="B81" s="294">
        <f t="shared" si="14"/>
        <v>64</v>
      </c>
      <c r="C81" s="192" t="s">
        <v>923</v>
      </c>
      <c r="D81" s="296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3"/>
    </row>
    <row r="82" spans="1:13" ht="18" customHeight="1">
      <c r="A82" s="293" t="str">
        <f t="shared" si="13"/>
        <v>NL</v>
      </c>
      <c r="B82" s="294">
        <f t="shared" si="14"/>
        <v>65</v>
      </c>
      <c r="C82" s="192" t="s">
        <v>921</v>
      </c>
      <c r="D82" s="296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3"/>
    </row>
    <row r="83" spans="1:13" ht="18" customHeight="1">
      <c r="A83" s="293" t="str">
        <f t="shared" si="13"/>
        <v>NL</v>
      </c>
      <c r="B83" s="837">
        <f t="shared" si="14"/>
        <v>66</v>
      </c>
      <c r="C83" s="192" t="s">
        <v>670</v>
      </c>
      <c r="D83" s="296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3"/>
    </row>
    <row r="84" spans="1:13" ht="18" customHeight="1">
      <c r="A84" s="293" t="str">
        <f t="shared" si="13"/>
        <v>NL</v>
      </c>
      <c r="B84" s="294">
        <f t="shared" si="14"/>
        <v>67</v>
      </c>
      <c r="C84" s="192" t="s">
        <v>1458</v>
      </c>
      <c r="D84" s="296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3"/>
    </row>
    <row r="85" spans="1:13" ht="18" customHeight="1">
      <c r="A85" s="293" t="str">
        <f t="shared" si="13"/>
        <v>NL</v>
      </c>
      <c r="B85" s="294">
        <f t="shared" si="14"/>
        <v>68</v>
      </c>
      <c r="C85" s="192" t="s">
        <v>736</v>
      </c>
      <c r="D85" s="296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3"/>
    </row>
    <row r="86" spans="1:13" ht="18" customHeight="1">
      <c r="A86" s="293" t="str">
        <f t="shared" si="13"/>
        <v>NL</v>
      </c>
      <c r="B86" s="294">
        <f t="shared" si="14"/>
        <v>69</v>
      </c>
      <c r="C86" s="192" t="s">
        <v>1389</v>
      </c>
      <c r="D86" s="296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3"/>
    </row>
    <row r="87" spans="1:13" ht="18" customHeight="1">
      <c r="A87" s="293" t="str">
        <f t="shared" si="13"/>
        <v>NL</v>
      </c>
      <c r="B87" s="294">
        <f t="shared" si="14"/>
        <v>70</v>
      </c>
      <c r="C87" s="192" t="s">
        <v>675</v>
      </c>
      <c r="D87" s="296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3"/>
    </row>
    <row r="88" spans="1:13" ht="18" customHeight="1">
      <c r="A88" s="293" t="str">
        <f t="shared" si="13"/>
        <v>NL</v>
      </c>
      <c r="B88" s="294">
        <f t="shared" si="14"/>
        <v>71</v>
      </c>
      <c r="C88" s="192" t="s">
        <v>676</v>
      </c>
      <c r="D88" s="296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3"/>
    </row>
    <row r="89" spans="1:13" ht="18" customHeight="1">
      <c r="A89" s="293" t="str">
        <f t="shared" si="13"/>
        <v>NL</v>
      </c>
      <c r="B89" s="294">
        <f t="shared" si="14"/>
        <v>72</v>
      </c>
      <c r="C89" s="192" t="s">
        <v>791</v>
      </c>
      <c r="D89" s="296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3"/>
    </row>
    <row r="90" spans="1:13" ht="18" customHeight="1">
      <c r="A90" s="293" t="str">
        <f t="shared" si="13"/>
        <v>NL</v>
      </c>
      <c r="B90" s="294">
        <f t="shared" si="14"/>
        <v>73</v>
      </c>
      <c r="C90" s="192" t="s">
        <v>734</v>
      </c>
      <c r="D90" s="296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3"/>
    </row>
    <row r="91" spans="1:13" ht="18" customHeight="1">
      <c r="A91" s="293" t="str">
        <f t="shared" si="13"/>
        <v>NL</v>
      </c>
      <c r="B91" s="294">
        <f t="shared" si="14"/>
        <v>74</v>
      </c>
      <c r="C91" s="192" t="s">
        <v>749</v>
      </c>
      <c r="D91" s="296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3"/>
    </row>
    <row r="92" spans="1:13" ht="18" customHeight="1">
      <c r="A92" s="293" t="str">
        <f t="shared" si="13"/>
        <v>NL</v>
      </c>
      <c r="B92" s="294">
        <f t="shared" si="14"/>
        <v>75</v>
      </c>
      <c r="C92" s="192" t="s">
        <v>1424</v>
      </c>
      <c r="D92" s="296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3"/>
    </row>
    <row r="93" spans="1:13" ht="18" customHeight="1">
      <c r="A93" s="293" t="str">
        <f t="shared" si="13"/>
        <v>NL</v>
      </c>
      <c r="B93" s="294">
        <f t="shared" si="14"/>
        <v>76</v>
      </c>
      <c r="C93" s="192" t="s">
        <v>672</v>
      </c>
      <c r="D93" s="296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3"/>
    </row>
    <row r="94" spans="1:13" ht="18" customHeight="1">
      <c r="A94" s="293" t="str">
        <f t="shared" si="13"/>
        <v>NL</v>
      </c>
      <c r="B94" s="294">
        <f t="shared" si="14"/>
        <v>77</v>
      </c>
      <c r="C94" s="192" t="s">
        <v>1405</v>
      </c>
      <c r="D94" s="296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3"/>
    </row>
    <row r="95" spans="1:13" ht="18" customHeight="1">
      <c r="A95" s="293" t="str">
        <f t="shared" si="13"/>
        <v>NL</v>
      </c>
      <c r="B95" s="294">
        <f t="shared" si="14"/>
        <v>78</v>
      </c>
      <c r="C95" s="192" t="s">
        <v>1466</v>
      </c>
      <c r="D95" s="296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3"/>
    </row>
    <row r="96" spans="1:13" ht="18" customHeight="1">
      <c r="A96" s="293" t="str">
        <f t="shared" si="13"/>
        <v>NL</v>
      </c>
      <c r="B96" s="294">
        <f t="shared" si="14"/>
        <v>79</v>
      </c>
      <c r="C96" s="192" t="s">
        <v>1460</v>
      </c>
      <c r="D96" s="296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3"/>
    </row>
    <row r="97" spans="1:13" ht="18" customHeight="1">
      <c r="A97" s="293" t="str">
        <f t="shared" si="13"/>
        <v>NL</v>
      </c>
      <c r="B97" s="294">
        <f t="shared" si="14"/>
        <v>80</v>
      </c>
      <c r="C97" s="192" t="s">
        <v>1454</v>
      </c>
      <c r="D97" s="296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3"/>
    </row>
    <row r="98" spans="1:13" ht="18" customHeight="1">
      <c r="A98" s="293" t="str">
        <f t="shared" si="13"/>
        <v>NL</v>
      </c>
      <c r="B98" s="294">
        <f t="shared" si="14"/>
        <v>81</v>
      </c>
      <c r="C98" s="297" t="s">
        <v>1366</v>
      </c>
      <c r="D98" s="296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3"/>
    </row>
    <row r="99" spans="1:13" ht="18" customHeight="1">
      <c r="A99" s="293" t="str">
        <f t="shared" si="13"/>
        <v>NL</v>
      </c>
      <c r="B99" s="294">
        <f t="shared" si="14"/>
        <v>82</v>
      </c>
      <c r="C99" s="192" t="s">
        <v>1427</v>
      </c>
      <c r="D99" s="296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3"/>
    </row>
    <row r="100" spans="1:13" ht="18" customHeight="1">
      <c r="A100" s="293" t="str">
        <f t="shared" si="13"/>
        <v>NL</v>
      </c>
      <c r="B100" s="294">
        <f t="shared" si="14"/>
        <v>83</v>
      </c>
      <c r="C100" s="192" t="s">
        <v>1421</v>
      </c>
      <c r="D100" s="296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3"/>
    </row>
    <row r="101" spans="1:13" ht="18" customHeight="1">
      <c r="A101" s="293" t="str">
        <f t="shared" si="13"/>
        <v>NL</v>
      </c>
      <c r="B101" s="294">
        <f t="shared" si="14"/>
        <v>84</v>
      </c>
      <c r="C101" s="192" t="s">
        <v>1399</v>
      </c>
      <c r="D101" s="296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3"/>
    </row>
    <row r="102" spans="1:13" ht="18" customHeight="1">
      <c r="A102" s="293" t="str">
        <f t="shared" si="13"/>
        <v>NL</v>
      </c>
      <c r="B102" s="294">
        <f t="shared" si="14"/>
        <v>85</v>
      </c>
      <c r="C102" s="192" t="s">
        <v>1408</v>
      </c>
      <c r="D102" s="296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3"/>
    </row>
    <row r="103" spans="1:13" ht="18" customHeight="1">
      <c r="A103" s="293" t="str">
        <f t="shared" si="13"/>
        <v>NL</v>
      </c>
      <c r="B103" s="837">
        <f t="shared" si="14"/>
        <v>86</v>
      </c>
      <c r="C103" s="192" t="s">
        <v>1455</v>
      </c>
      <c r="D103" s="296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3"/>
    </row>
    <row r="104" spans="1:13" ht="18" customHeight="1">
      <c r="A104" s="293" t="str">
        <f t="shared" si="13"/>
        <v>NL</v>
      </c>
      <c r="B104" s="294">
        <f t="shared" si="14"/>
        <v>87</v>
      </c>
      <c r="C104" s="192" t="s">
        <v>1409</v>
      </c>
      <c r="D104" s="296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3"/>
    </row>
    <row r="105" spans="1:13" ht="18" customHeight="1">
      <c r="A105" s="293" t="str">
        <f t="shared" si="13"/>
        <v>NL</v>
      </c>
      <c r="B105" s="294">
        <f t="shared" si="14"/>
        <v>88</v>
      </c>
      <c r="C105" s="189" t="s">
        <v>1375</v>
      </c>
      <c r="D105" s="296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3"/>
    </row>
    <row r="106" spans="1:13" ht="18" customHeight="1">
      <c r="A106" s="293" t="str">
        <f t="shared" si="13"/>
        <v>NL</v>
      </c>
      <c r="B106" s="294">
        <f t="shared" si="14"/>
        <v>89</v>
      </c>
      <c r="C106" s="192" t="s">
        <v>1429</v>
      </c>
      <c r="D106" s="296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3"/>
    </row>
    <row r="107" spans="1:13" ht="18" customHeight="1">
      <c r="A107" s="293" t="str">
        <f t="shared" si="13"/>
        <v>NL</v>
      </c>
      <c r="B107" s="294">
        <f t="shared" si="14"/>
        <v>90</v>
      </c>
      <c r="C107" s="192" t="s">
        <v>735</v>
      </c>
      <c r="D107" s="296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3"/>
    </row>
    <row r="108" spans="1:13" ht="18" customHeight="1">
      <c r="A108" s="293" t="str">
        <f t="shared" si="13"/>
        <v>NL</v>
      </c>
      <c r="B108" s="294">
        <f t="shared" si="14"/>
        <v>91</v>
      </c>
      <c r="C108" s="192" t="s">
        <v>1386</v>
      </c>
      <c r="D108" s="296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3"/>
    </row>
    <row r="109" spans="1:13" ht="18" customHeight="1">
      <c r="A109" s="293" t="str">
        <f t="shared" si="13"/>
        <v>NL</v>
      </c>
      <c r="B109" s="294">
        <f t="shared" si="14"/>
        <v>92</v>
      </c>
      <c r="C109" s="192" t="s">
        <v>1446</v>
      </c>
      <c r="D109" s="296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3"/>
    </row>
    <row r="110" spans="1:13" ht="18" customHeight="1">
      <c r="A110" s="293" t="str">
        <f t="shared" si="13"/>
        <v>NL</v>
      </c>
      <c r="B110" s="294">
        <f t="shared" si="14"/>
        <v>93</v>
      </c>
      <c r="C110" s="189" t="s">
        <v>1376</v>
      </c>
      <c r="D110" s="296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3"/>
    </row>
    <row r="111" spans="1:13" ht="18" customHeight="1">
      <c r="A111" s="293" t="str">
        <f t="shared" si="13"/>
        <v>NL</v>
      </c>
      <c r="B111" s="294">
        <f t="shared" si="14"/>
        <v>94</v>
      </c>
      <c r="C111" s="192" t="s">
        <v>1462</v>
      </c>
      <c r="D111" s="296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3"/>
    </row>
    <row r="112" spans="1:13" ht="18" customHeight="1">
      <c r="A112" s="293" t="str">
        <f t="shared" si="13"/>
        <v>NL</v>
      </c>
      <c r="B112" s="294">
        <f t="shared" si="14"/>
        <v>95</v>
      </c>
      <c r="C112" s="189" t="s">
        <v>1377</v>
      </c>
      <c r="D112" s="296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3"/>
    </row>
    <row r="113" spans="1:13" ht="18" customHeight="1">
      <c r="A113" s="293" t="str">
        <f t="shared" si="13"/>
        <v>NL</v>
      </c>
      <c r="B113" s="294">
        <f t="shared" si="14"/>
        <v>96</v>
      </c>
      <c r="C113" s="192" t="s">
        <v>747</v>
      </c>
      <c r="D113" s="296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3"/>
    </row>
    <row r="114" spans="1:13" ht="18" customHeight="1">
      <c r="A114" s="293" t="str">
        <f t="shared" si="13"/>
        <v>NL</v>
      </c>
      <c r="B114" s="294">
        <f t="shared" si="14"/>
        <v>97</v>
      </c>
      <c r="C114" s="192" t="s">
        <v>1406</v>
      </c>
      <c r="D114" s="296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3"/>
    </row>
    <row r="115" spans="1:13" ht="18" customHeight="1">
      <c r="A115" s="293" t="str">
        <f t="shared" si="13"/>
        <v>NL</v>
      </c>
      <c r="B115" s="294">
        <f t="shared" si="14"/>
        <v>98</v>
      </c>
      <c r="C115" s="192" t="s">
        <v>1448</v>
      </c>
      <c r="D115" s="296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3"/>
    </row>
    <row r="116" spans="1:13" ht="18" customHeight="1">
      <c r="A116" s="293" t="str">
        <f t="shared" si="13"/>
        <v>NL</v>
      </c>
      <c r="B116" s="294">
        <f t="shared" si="14"/>
        <v>99</v>
      </c>
      <c r="C116" s="192" t="s">
        <v>1403</v>
      </c>
      <c r="D116" s="296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3"/>
    </row>
    <row r="117" spans="1:13" ht="18" customHeight="1">
      <c r="A117" s="293" t="str">
        <f t="shared" si="13"/>
        <v>NL</v>
      </c>
      <c r="B117" s="294">
        <f t="shared" si="14"/>
        <v>100</v>
      </c>
      <c r="C117" s="192" t="s">
        <v>1407</v>
      </c>
      <c r="D117" s="296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3"/>
    </row>
    <row r="118" spans="1:13" ht="18" customHeight="1">
      <c r="A118" s="293" t="str">
        <f t="shared" si="13"/>
        <v>NL</v>
      </c>
      <c r="B118" s="294">
        <f t="shared" si="14"/>
        <v>101</v>
      </c>
      <c r="C118" s="189" t="s">
        <v>1379</v>
      </c>
      <c r="D118" s="296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3"/>
    </row>
    <row r="119" spans="1:13" ht="18" customHeight="1">
      <c r="A119" s="293" t="str">
        <f t="shared" si="13"/>
        <v>NL</v>
      </c>
      <c r="B119" s="294">
        <f t="shared" si="14"/>
        <v>102</v>
      </c>
      <c r="C119" s="192" t="s">
        <v>1441</v>
      </c>
      <c r="D119" s="296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3"/>
    </row>
    <row r="120" spans="1:13" ht="18" customHeight="1">
      <c r="A120" s="293" t="str">
        <f t="shared" si="13"/>
        <v>NL</v>
      </c>
      <c r="B120" s="294">
        <f t="shared" si="14"/>
        <v>103</v>
      </c>
      <c r="C120" s="192" t="s">
        <v>1384</v>
      </c>
      <c r="D120" s="296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3"/>
    </row>
    <row r="121" spans="1:13" ht="18" customHeight="1">
      <c r="A121" s="293" t="str">
        <f t="shared" si="13"/>
        <v>NL</v>
      </c>
      <c r="B121" s="294">
        <f t="shared" si="14"/>
        <v>104</v>
      </c>
      <c r="C121" s="192" t="s">
        <v>1414</v>
      </c>
      <c r="D121" s="296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3"/>
    </row>
    <row r="122" spans="1:13" ht="18" customHeight="1">
      <c r="A122" s="293" t="str">
        <f t="shared" si="13"/>
        <v>NL</v>
      </c>
      <c r="B122" s="294">
        <f t="shared" si="14"/>
        <v>105</v>
      </c>
      <c r="C122" s="192" t="s">
        <v>1387</v>
      </c>
      <c r="D122" s="296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3"/>
    </row>
    <row r="123" spans="1:13" ht="18" customHeight="1">
      <c r="A123" s="293" t="str">
        <f t="shared" si="13"/>
        <v>NL</v>
      </c>
      <c r="B123" s="294">
        <f t="shared" si="14"/>
        <v>106</v>
      </c>
      <c r="C123" s="192" t="s">
        <v>1447</v>
      </c>
      <c r="D123" s="296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3"/>
    </row>
    <row r="124" spans="1:13" ht="18" customHeight="1">
      <c r="A124" s="293" t="str">
        <f t="shared" si="13"/>
        <v>NL</v>
      </c>
      <c r="B124" s="294">
        <f t="shared" si="14"/>
        <v>107</v>
      </c>
      <c r="C124" s="192" t="s">
        <v>1457</v>
      </c>
      <c r="D124" s="296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3"/>
    </row>
    <row r="125" spans="1:13" ht="18" customHeight="1">
      <c r="A125" s="293" t="str">
        <f t="shared" si="13"/>
        <v>NL</v>
      </c>
      <c r="B125" s="294">
        <f t="shared" si="14"/>
        <v>108</v>
      </c>
      <c r="C125" s="192" t="s">
        <v>1453</v>
      </c>
      <c r="D125" s="296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3"/>
    </row>
    <row r="126" spans="1:13" ht="18" customHeight="1">
      <c r="A126" s="293" t="str">
        <f t="shared" si="13"/>
        <v>NL</v>
      </c>
      <c r="B126" s="294">
        <f t="shared" si="14"/>
        <v>109</v>
      </c>
      <c r="C126" s="189" t="s">
        <v>1378</v>
      </c>
      <c r="D126" s="296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3"/>
    </row>
    <row r="127" spans="1:13" ht="18" customHeight="1">
      <c r="A127" s="293" t="str">
        <f t="shared" si="13"/>
        <v>NL</v>
      </c>
      <c r="B127" s="294">
        <f t="shared" si="14"/>
        <v>110</v>
      </c>
      <c r="C127" s="192" t="s">
        <v>1401</v>
      </c>
      <c r="D127" s="296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3"/>
    </row>
    <row r="128" spans="1:13" ht="18" customHeight="1">
      <c r="A128" s="293" t="str">
        <f t="shared" si="13"/>
        <v>NL</v>
      </c>
      <c r="B128" s="294">
        <f t="shared" si="14"/>
        <v>111</v>
      </c>
      <c r="C128" s="192" t="s">
        <v>1442</v>
      </c>
      <c r="D128" s="296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3"/>
    </row>
    <row r="129" spans="1:13" ht="18" customHeight="1">
      <c r="A129" s="293" t="str">
        <f t="shared" si="13"/>
        <v>NL</v>
      </c>
      <c r="B129" s="294">
        <f t="shared" si="14"/>
        <v>112</v>
      </c>
      <c r="C129" s="192" t="s">
        <v>1449</v>
      </c>
      <c r="D129" s="296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3"/>
    </row>
    <row r="130" spans="1:13" ht="18" customHeight="1">
      <c r="A130" s="293" t="str">
        <f t="shared" si="13"/>
        <v>NL</v>
      </c>
      <c r="B130" s="294">
        <f t="shared" si="14"/>
        <v>113</v>
      </c>
      <c r="C130" s="192" t="s">
        <v>1412</v>
      </c>
      <c r="D130" s="296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3"/>
    </row>
    <row r="131" spans="1:13" ht="18" customHeight="1">
      <c r="A131" s="293" t="str">
        <f t="shared" si="13"/>
        <v>NL</v>
      </c>
      <c r="B131" s="294">
        <f t="shared" si="14"/>
        <v>114</v>
      </c>
      <c r="C131" s="192" t="s">
        <v>1432</v>
      </c>
      <c r="D131" s="296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3"/>
    </row>
    <row r="132" spans="1:13" ht="18" customHeight="1">
      <c r="A132" s="293" t="str">
        <f t="shared" si="13"/>
        <v>NL</v>
      </c>
      <c r="B132" s="294">
        <f t="shared" si="14"/>
        <v>115</v>
      </c>
      <c r="C132" s="192" t="s">
        <v>1430</v>
      </c>
      <c r="D132" s="296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3"/>
    </row>
    <row r="133" spans="1:13" ht="18" customHeight="1">
      <c r="A133" s="293" t="str">
        <f t="shared" si="13"/>
        <v>NL</v>
      </c>
      <c r="B133" s="294">
        <f t="shared" si="14"/>
        <v>116</v>
      </c>
      <c r="C133" s="192" t="s">
        <v>1388</v>
      </c>
      <c r="D133" s="296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3"/>
    </row>
    <row r="134" spans="1:13" ht="18" customHeight="1">
      <c r="A134" s="293" t="str">
        <f t="shared" si="13"/>
        <v>NL</v>
      </c>
      <c r="B134" s="294">
        <f t="shared" si="14"/>
        <v>117</v>
      </c>
      <c r="C134" s="192" t="s">
        <v>1452</v>
      </c>
      <c r="D134" s="296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3"/>
    </row>
    <row r="135" spans="1:13" ht="18" customHeight="1">
      <c r="A135" s="293" t="str">
        <f t="shared" si="13"/>
        <v>NL</v>
      </c>
      <c r="B135" s="294">
        <f t="shared" si="14"/>
        <v>118</v>
      </c>
      <c r="C135" s="192" t="s">
        <v>1402</v>
      </c>
      <c r="D135" s="296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3"/>
    </row>
    <row r="136" spans="1:13" ht="18" customHeight="1">
      <c r="A136" s="293" t="str">
        <f t="shared" si="13"/>
        <v>NL</v>
      </c>
      <c r="B136" s="294">
        <f t="shared" si="14"/>
        <v>119</v>
      </c>
      <c r="C136" s="192" t="s">
        <v>1390</v>
      </c>
      <c r="D136" s="296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3"/>
    </row>
    <row r="137" spans="1:13" ht="18" customHeight="1">
      <c r="A137" s="293" t="str">
        <f t="shared" si="13"/>
        <v>NL</v>
      </c>
      <c r="B137" s="294">
        <f t="shared" si="14"/>
        <v>120</v>
      </c>
      <c r="C137" s="192" t="s">
        <v>1444</v>
      </c>
      <c r="D137" s="296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3"/>
    </row>
    <row r="138" spans="1:13" ht="18" customHeight="1">
      <c r="A138" s="293" t="str">
        <f t="shared" ref="A138:A201" si="17">IF(B138&lt;&gt;"","NL","")</f>
        <v>NL</v>
      </c>
      <c r="B138" s="837">
        <f t="shared" ref="B138:B201" si="18">IF(C138&lt;&gt;"",B137+1,"")</f>
        <v>121</v>
      </c>
      <c r="C138" s="297" t="s">
        <v>1368</v>
      </c>
      <c r="D138" s="296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3"/>
    </row>
    <row r="139" spans="1:13" ht="18" customHeight="1">
      <c r="A139" s="293" t="str">
        <f t="shared" si="17"/>
        <v>NL</v>
      </c>
      <c r="B139" s="294">
        <f t="shared" si="18"/>
        <v>122</v>
      </c>
      <c r="C139" s="192" t="s">
        <v>1451</v>
      </c>
      <c r="D139" s="296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3"/>
    </row>
    <row r="140" spans="1:13" ht="18" customHeight="1">
      <c r="A140" s="293" t="str">
        <f t="shared" si="17"/>
        <v>NL</v>
      </c>
      <c r="B140" s="837">
        <f t="shared" si="18"/>
        <v>123</v>
      </c>
      <c r="C140" s="192" t="s">
        <v>1431</v>
      </c>
      <c r="D140" s="296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3"/>
    </row>
    <row r="141" spans="1:13" ht="18" customHeight="1">
      <c r="A141" s="293" t="str">
        <f t="shared" si="17"/>
        <v>NL</v>
      </c>
      <c r="B141" s="837">
        <f t="shared" si="18"/>
        <v>124</v>
      </c>
      <c r="C141" s="192" t="s">
        <v>1464</v>
      </c>
      <c r="D141" s="296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3"/>
    </row>
    <row r="142" spans="1:13" ht="18" customHeight="1">
      <c r="A142" s="293" t="str">
        <f t="shared" si="17"/>
        <v>NL</v>
      </c>
      <c r="B142" s="837">
        <f t="shared" si="18"/>
        <v>125</v>
      </c>
      <c r="C142" s="192" t="s">
        <v>1415</v>
      </c>
      <c r="D142" s="296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3"/>
    </row>
    <row r="143" spans="1:13" ht="18" customHeight="1">
      <c r="A143" s="293" t="str">
        <f t="shared" si="17"/>
        <v>NL</v>
      </c>
      <c r="B143" s="837">
        <f t="shared" si="18"/>
        <v>126</v>
      </c>
      <c r="C143" s="192" t="s">
        <v>1468</v>
      </c>
      <c r="D143" s="296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3"/>
    </row>
    <row r="144" spans="1:13" ht="18" customHeight="1">
      <c r="A144" s="293" t="str">
        <f t="shared" si="17"/>
        <v>NL</v>
      </c>
      <c r="B144" s="837">
        <f t="shared" si="18"/>
        <v>127</v>
      </c>
      <c r="C144" s="192" t="s">
        <v>1456</v>
      </c>
      <c r="D144" s="296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3"/>
    </row>
    <row r="145" spans="1:13" ht="18" customHeight="1">
      <c r="A145" s="293" t="str">
        <f t="shared" si="17"/>
        <v>NL</v>
      </c>
      <c r="B145" s="837">
        <f t="shared" si="18"/>
        <v>128</v>
      </c>
      <c r="C145" s="192" t="s">
        <v>1450</v>
      </c>
      <c r="D145" s="296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3"/>
    </row>
    <row r="146" spans="1:13" ht="18" customHeight="1">
      <c r="A146" s="293" t="str">
        <f t="shared" si="17"/>
        <v>NL</v>
      </c>
      <c r="B146" s="837">
        <f t="shared" si="18"/>
        <v>129</v>
      </c>
      <c r="C146" s="192" t="s">
        <v>1391</v>
      </c>
      <c r="D146" s="296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3"/>
    </row>
    <row r="147" spans="1:13" ht="18" customHeight="1">
      <c r="A147" s="293" t="str">
        <f t="shared" si="17"/>
        <v>NL</v>
      </c>
      <c r="B147" s="837">
        <f t="shared" si="18"/>
        <v>130</v>
      </c>
      <c r="C147" s="192" t="s">
        <v>1467</v>
      </c>
      <c r="D147" s="296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3"/>
    </row>
    <row r="148" spans="1:13" ht="18" customHeight="1">
      <c r="A148" s="293" t="str">
        <f t="shared" si="17"/>
        <v>NL</v>
      </c>
      <c r="B148" s="837">
        <f t="shared" si="18"/>
        <v>131</v>
      </c>
      <c r="C148" s="297" t="s">
        <v>1369</v>
      </c>
      <c r="D148" s="296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3"/>
    </row>
    <row r="149" spans="1:13" ht="18" customHeight="1">
      <c r="A149" s="293" t="str">
        <f t="shared" si="17"/>
        <v>NL</v>
      </c>
      <c r="B149" s="837">
        <f t="shared" si="18"/>
        <v>132</v>
      </c>
      <c r="C149" s="192" t="s">
        <v>1410</v>
      </c>
      <c r="D149" s="296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3"/>
    </row>
    <row r="150" spans="1:13" ht="18" customHeight="1">
      <c r="A150" s="293" t="str">
        <f t="shared" si="17"/>
        <v>NL</v>
      </c>
      <c r="B150" s="837">
        <f t="shared" si="18"/>
        <v>133</v>
      </c>
      <c r="C150" s="192" t="s">
        <v>1433</v>
      </c>
      <c r="D150" s="296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3"/>
    </row>
    <row r="151" spans="1:13" ht="18" customHeight="1">
      <c r="A151" s="293" t="str">
        <f t="shared" si="17"/>
        <v>NL</v>
      </c>
      <c r="B151" s="837">
        <f t="shared" si="18"/>
        <v>134</v>
      </c>
      <c r="C151" s="192" t="s">
        <v>1392</v>
      </c>
      <c r="D151" s="296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3"/>
    </row>
    <row r="152" spans="1:13" ht="18" customHeight="1">
      <c r="A152" s="293" t="str">
        <f t="shared" si="17"/>
        <v>NL</v>
      </c>
      <c r="B152" s="837">
        <f t="shared" si="18"/>
        <v>135</v>
      </c>
      <c r="C152" s="192" t="s">
        <v>1400</v>
      </c>
      <c r="D152" s="296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3"/>
    </row>
    <row r="153" spans="1:13" ht="18" customHeight="1">
      <c r="A153" s="293" t="str">
        <f t="shared" si="17"/>
        <v>NL</v>
      </c>
      <c r="B153" s="837">
        <f t="shared" si="18"/>
        <v>136</v>
      </c>
      <c r="C153" s="189" t="s">
        <v>1370</v>
      </c>
      <c r="D153" s="296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3"/>
    </row>
    <row r="154" spans="1:13" ht="18" customHeight="1">
      <c r="A154" s="293" t="str">
        <f t="shared" si="17"/>
        <v>NL</v>
      </c>
      <c r="B154" s="837">
        <f t="shared" si="18"/>
        <v>137</v>
      </c>
      <c r="C154" s="192" t="s">
        <v>1380</v>
      </c>
      <c r="D154" s="296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3"/>
    </row>
    <row r="155" spans="1:13" ht="18" customHeight="1">
      <c r="A155" s="293" t="str">
        <f t="shared" si="17"/>
        <v>NL</v>
      </c>
      <c r="B155" s="837">
        <f t="shared" si="18"/>
        <v>138</v>
      </c>
      <c r="C155" s="192" t="s">
        <v>1422</v>
      </c>
      <c r="D155" s="296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3"/>
    </row>
    <row r="156" spans="1:13" ht="18" customHeight="1">
      <c r="A156" s="293" t="str">
        <f t="shared" si="17"/>
        <v>NL</v>
      </c>
      <c r="B156" s="837">
        <f t="shared" si="18"/>
        <v>139</v>
      </c>
      <c r="C156" s="192" t="s">
        <v>1438</v>
      </c>
      <c r="D156" s="296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3"/>
    </row>
    <row r="157" spans="1:13" ht="18" customHeight="1">
      <c r="A157" s="293" t="str">
        <f t="shared" si="17"/>
        <v>NL</v>
      </c>
      <c r="B157" s="837">
        <f t="shared" si="18"/>
        <v>140</v>
      </c>
      <c r="C157" s="192" t="s">
        <v>1435</v>
      </c>
      <c r="D157" s="296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3"/>
    </row>
    <row r="158" spans="1:13" ht="18" customHeight="1">
      <c r="A158" s="293" t="str">
        <f t="shared" si="17"/>
        <v>NL</v>
      </c>
      <c r="B158" s="837">
        <f t="shared" si="18"/>
        <v>141</v>
      </c>
      <c r="C158" s="192" t="s">
        <v>1436</v>
      </c>
      <c r="D158" s="296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3"/>
    </row>
    <row r="159" spans="1:13" ht="18" customHeight="1">
      <c r="A159" s="293" t="str">
        <f t="shared" si="17"/>
        <v>NL</v>
      </c>
      <c r="B159" s="837">
        <f t="shared" si="18"/>
        <v>142</v>
      </c>
      <c r="C159" s="192" t="s">
        <v>1393</v>
      </c>
      <c r="D159" s="296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3"/>
    </row>
    <row r="160" spans="1:13" ht="18" customHeight="1">
      <c r="A160" s="293" t="str">
        <f t="shared" si="17"/>
        <v>NL</v>
      </c>
      <c r="B160" s="837">
        <f t="shared" si="18"/>
        <v>143</v>
      </c>
      <c r="C160" s="192" t="s">
        <v>1465</v>
      </c>
      <c r="D160" s="296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3"/>
    </row>
    <row r="161" spans="1:13" ht="18" customHeight="1">
      <c r="A161" s="293" t="str">
        <f t="shared" si="17"/>
        <v>NL</v>
      </c>
      <c r="B161" s="837">
        <f t="shared" si="18"/>
        <v>144</v>
      </c>
      <c r="C161" s="192" t="s">
        <v>1463</v>
      </c>
      <c r="D161" s="296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3"/>
    </row>
    <row r="162" spans="1:13" ht="18" customHeight="1">
      <c r="A162" s="293" t="str">
        <f t="shared" si="17"/>
        <v>NL</v>
      </c>
      <c r="B162" s="837">
        <f t="shared" si="18"/>
        <v>145</v>
      </c>
      <c r="C162" s="192" t="s">
        <v>1413</v>
      </c>
      <c r="D162" s="296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3"/>
    </row>
    <row r="163" spans="1:13" ht="18" customHeight="1">
      <c r="A163" s="293" t="str">
        <f t="shared" si="17"/>
        <v>NL</v>
      </c>
      <c r="B163" s="837">
        <f t="shared" si="18"/>
        <v>146</v>
      </c>
      <c r="C163" s="192" t="s">
        <v>1440</v>
      </c>
      <c r="D163" s="296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3"/>
    </row>
    <row r="164" spans="1:13" ht="18" customHeight="1">
      <c r="A164" s="293" t="str">
        <f t="shared" si="17"/>
        <v>NL</v>
      </c>
      <c r="B164" s="837">
        <f t="shared" si="18"/>
        <v>147</v>
      </c>
      <c r="C164" s="192" t="s">
        <v>1396</v>
      </c>
      <c r="D164" s="296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3"/>
    </row>
    <row r="165" spans="1:13" ht="18" customHeight="1">
      <c r="A165" s="293" t="str">
        <f t="shared" si="17"/>
        <v>NL</v>
      </c>
      <c r="B165" s="837">
        <f t="shared" si="18"/>
        <v>148</v>
      </c>
      <c r="C165" s="189" t="s">
        <v>1373</v>
      </c>
      <c r="D165" s="296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3"/>
    </row>
    <row r="166" spans="1:13" ht="18" customHeight="1">
      <c r="A166" s="293" t="str">
        <f t="shared" si="17"/>
        <v>NL</v>
      </c>
      <c r="B166" s="837">
        <f t="shared" si="18"/>
        <v>149</v>
      </c>
      <c r="C166" s="192" t="s">
        <v>1418</v>
      </c>
      <c r="D166" s="296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3"/>
    </row>
    <row r="167" spans="1:13" ht="18" customHeight="1">
      <c r="A167" s="293" t="str">
        <f t="shared" si="17"/>
        <v>NL</v>
      </c>
      <c r="B167" s="837">
        <f t="shared" si="18"/>
        <v>150</v>
      </c>
      <c r="C167" s="192" t="s">
        <v>1394</v>
      </c>
      <c r="D167" s="296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3"/>
    </row>
    <row r="168" spans="1:13" ht="18" customHeight="1">
      <c r="A168" s="293" t="str">
        <f t="shared" si="17"/>
        <v>NL</v>
      </c>
      <c r="B168" s="837">
        <f t="shared" si="18"/>
        <v>151</v>
      </c>
      <c r="C168" s="192" t="s">
        <v>1425</v>
      </c>
      <c r="D168" s="296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3"/>
    </row>
    <row r="169" spans="1:13" ht="18" customHeight="1">
      <c r="A169" s="293" t="str">
        <f t="shared" si="17"/>
        <v>NL</v>
      </c>
      <c r="B169" s="837">
        <f t="shared" si="18"/>
        <v>152</v>
      </c>
      <c r="C169" s="189" t="s">
        <v>1371</v>
      </c>
      <c r="D169" s="296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3"/>
    </row>
    <row r="170" spans="1:13" ht="18" customHeight="1">
      <c r="A170" s="293" t="str">
        <f t="shared" si="17"/>
        <v>NL</v>
      </c>
      <c r="B170" s="837">
        <f t="shared" si="18"/>
        <v>153</v>
      </c>
      <c r="C170" s="189" t="s">
        <v>1365</v>
      </c>
      <c r="D170" s="296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3"/>
    </row>
    <row r="171" spans="1:13" ht="18" customHeight="1">
      <c r="A171" s="293" t="str">
        <f t="shared" si="17"/>
        <v>NL</v>
      </c>
      <c r="B171" s="837">
        <f t="shared" si="18"/>
        <v>154</v>
      </c>
      <c r="C171" s="192" t="s">
        <v>1411</v>
      </c>
      <c r="D171" s="296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3"/>
    </row>
    <row r="172" spans="1:13" ht="18" customHeight="1">
      <c r="A172" s="293" t="str">
        <f t="shared" si="17"/>
        <v>NL</v>
      </c>
      <c r="B172" s="837">
        <f t="shared" si="18"/>
        <v>155</v>
      </c>
      <c r="C172" s="192" t="s">
        <v>1419</v>
      </c>
      <c r="D172" s="296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3"/>
    </row>
    <row r="173" spans="1:13" ht="18" customHeight="1">
      <c r="A173" s="293" t="str">
        <f t="shared" si="17"/>
        <v>NL</v>
      </c>
      <c r="B173" s="837">
        <f t="shared" si="18"/>
        <v>156</v>
      </c>
      <c r="C173" s="297" t="s">
        <v>1367</v>
      </c>
      <c r="D173" s="296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3"/>
    </row>
    <row r="174" spans="1:13" ht="18" customHeight="1">
      <c r="A174" s="293" t="str">
        <f t="shared" si="17"/>
        <v>NL</v>
      </c>
      <c r="B174" s="837">
        <f t="shared" si="18"/>
        <v>157</v>
      </c>
      <c r="C174" s="192" t="s">
        <v>1417</v>
      </c>
      <c r="D174" s="296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3"/>
    </row>
    <row r="175" spans="1:13" ht="18" customHeight="1">
      <c r="A175" s="293" t="str">
        <f t="shared" si="17"/>
        <v>NL</v>
      </c>
      <c r="B175" s="837">
        <f t="shared" si="18"/>
        <v>158</v>
      </c>
      <c r="C175" s="192" t="s">
        <v>1439</v>
      </c>
      <c r="D175" s="296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3"/>
    </row>
    <row r="176" spans="1:13" ht="18" customHeight="1">
      <c r="A176" s="293" t="str">
        <f t="shared" si="17"/>
        <v>NL</v>
      </c>
      <c r="B176" s="837">
        <f t="shared" si="18"/>
        <v>159</v>
      </c>
      <c r="C176" s="192" t="s">
        <v>1397</v>
      </c>
      <c r="D176" s="296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3"/>
    </row>
    <row r="177" spans="1:13" ht="18" customHeight="1">
      <c r="A177" s="293" t="str">
        <f t="shared" si="17"/>
        <v>NL</v>
      </c>
      <c r="B177" s="837">
        <f t="shared" si="18"/>
        <v>160</v>
      </c>
      <c r="C177" s="192" t="s">
        <v>1437</v>
      </c>
      <c r="D177" s="296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3"/>
    </row>
    <row r="178" spans="1:13" ht="18" customHeight="1">
      <c r="A178" s="293" t="str">
        <f t="shared" si="17"/>
        <v>NL</v>
      </c>
      <c r="B178" s="837">
        <f t="shared" si="18"/>
        <v>161</v>
      </c>
      <c r="C178" s="189" t="s">
        <v>1374</v>
      </c>
      <c r="D178" s="296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3"/>
    </row>
    <row r="179" spans="1:13" ht="18" customHeight="1">
      <c r="A179" s="293" t="str">
        <f t="shared" si="17"/>
        <v>NL</v>
      </c>
      <c r="B179" s="837">
        <f t="shared" si="18"/>
        <v>162</v>
      </c>
      <c r="C179" s="192" t="s">
        <v>1445</v>
      </c>
      <c r="D179" s="296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3"/>
    </row>
    <row r="180" spans="1:13" ht="18" customHeight="1">
      <c r="A180" s="293" t="str">
        <f t="shared" si="17"/>
        <v>NL</v>
      </c>
      <c r="B180" s="837">
        <f t="shared" si="18"/>
        <v>163</v>
      </c>
      <c r="C180" s="192" t="s">
        <v>1381</v>
      </c>
      <c r="D180" s="296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3"/>
    </row>
    <row r="181" spans="1:13" ht="18" customHeight="1">
      <c r="A181" s="293" t="str">
        <f t="shared" si="17"/>
        <v>NL</v>
      </c>
      <c r="B181" s="837">
        <f t="shared" si="18"/>
        <v>164</v>
      </c>
      <c r="C181" s="192" t="s">
        <v>1428</v>
      </c>
      <c r="D181" s="296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3"/>
    </row>
    <row r="182" spans="1:13" ht="18" customHeight="1">
      <c r="A182" s="293" t="str">
        <f t="shared" si="17"/>
        <v>NL</v>
      </c>
      <c r="B182" s="837">
        <f t="shared" si="18"/>
        <v>165</v>
      </c>
      <c r="C182" s="192" t="s">
        <v>1420</v>
      </c>
      <c r="D182" s="296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3"/>
    </row>
    <row r="183" spans="1:13" ht="18" customHeight="1">
      <c r="A183" s="293" t="str">
        <f t="shared" si="17"/>
        <v>NL</v>
      </c>
      <c r="B183" s="837">
        <f t="shared" si="18"/>
        <v>166</v>
      </c>
      <c r="C183" s="192" t="s">
        <v>1395</v>
      </c>
      <c r="D183" s="296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3"/>
    </row>
    <row r="184" spans="1:13" ht="18" customHeight="1">
      <c r="A184" s="293" t="str">
        <f t="shared" si="17"/>
        <v>NL</v>
      </c>
      <c r="B184" s="837">
        <f t="shared" si="18"/>
        <v>167</v>
      </c>
      <c r="C184" s="192" t="s">
        <v>1398</v>
      </c>
      <c r="D184" s="296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3"/>
    </row>
    <row r="185" spans="1:13" ht="18" customHeight="1">
      <c r="A185" s="293" t="str">
        <f t="shared" si="17"/>
        <v>NL</v>
      </c>
      <c r="B185" s="837">
        <f t="shared" si="18"/>
        <v>168</v>
      </c>
      <c r="C185" s="189" t="s">
        <v>1372</v>
      </c>
      <c r="D185" s="296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3"/>
    </row>
    <row r="186" spans="1:13" ht="18" customHeight="1">
      <c r="A186" s="293" t="str">
        <f t="shared" si="17"/>
        <v>NL</v>
      </c>
      <c r="B186" s="837">
        <f t="shared" si="18"/>
        <v>169</v>
      </c>
      <c r="C186" s="192" t="s">
        <v>1382</v>
      </c>
      <c r="D186" s="296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3"/>
    </row>
    <row r="187" spans="1:13" ht="18" customHeight="1">
      <c r="A187" s="293" t="str">
        <f t="shared" si="17"/>
        <v>NL</v>
      </c>
      <c r="B187" s="837">
        <f t="shared" si="18"/>
        <v>170</v>
      </c>
      <c r="C187" s="192" t="s">
        <v>1443</v>
      </c>
      <c r="D187" s="296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3"/>
    </row>
    <row r="188" spans="1:13" ht="18" customHeight="1">
      <c r="A188" s="293" t="str">
        <f t="shared" si="17"/>
        <v>NL</v>
      </c>
      <c r="B188" s="837">
        <f t="shared" si="18"/>
        <v>171</v>
      </c>
      <c r="C188" s="192" t="s">
        <v>1383</v>
      </c>
      <c r="D188" s="296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3"/>
    </row>
    <row r="189" spans="1:13" ht="18" customHeight="1">
      <c r="A189" s="293" t="str">
        <f t="shared" si="17"/>
        <v>NL</v>
      </c>
      <c r="B189" s="837">
        <f t="shared" si="18"/>
        <v>172</v>
      </c>
      <c r="C189" s="192" t="s">
        <v>1426</v>
      </c>
      <c r="D189" s="296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3"/>
    </row>
    <row r="190" spans="1:13" ht="18" customHeight="1">
      <c r="A190" s="293" t="str">
        <f t="shared" si="17"/>
        <v>NL</v>
      </c>
      <c r="B190" s="837">
        <f t="shared" si="18"/>
        <v>173</v>
      </c>
      <c r="C190" s="192" t="s">
        <v>1404</v>
      </c>
      <c r="D190" s="296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3"/>
    </row>
    <row r="191" spans="1:13" ht="18" customHeight="1">
      <c r="A191" s="293" t="str">
        <f t="shared" si="17"/>
        <v>NL</v>
      </c>
      <c r="B191" s="837">
        <f t="shared" si="18"/>
        <v>174</v>
      </c>
      <c r="C191" s="192" t="s">
        <v>1459</v>
      </c>
      <c r="D191" s="296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3"/>
    </row>
    <row r="192" spans="1:13" ht="18" customHeight="1">
      <c r="A192" s="293" t="str">
        <f t="shared" si="17"/>
        <v>NL</v>
      </c>
      <c r="B192" s="837">
        <f t="shared" si="18"/>
        <v>175</v>
      </c>
      <c r="C192" s="192" t="s">
        <v>1461</v>
      </c>
      <c r="D192" s="296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3"/>
    </row>
    <row r="193" spans="1:13" ht="18" customHeight="1">
      <c r="A193" s="293" t="str">
        <f t="shared" si="17"/>
        <v>NL</v>
      </c>
      <c r="B193" s="837">
        <f t="shared" si="18"/>
        <v>176</v>
      </c>
      <c r="C193" s="192" t="s">
        <v>733</v>
      </c>
      <c r="D193" s="296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3"/>
    </row>
    <row r="194" spans="1:13" ht="18" customHeight="1">
      <c r="A194" s="293" t="str">
        <f t="shared" si="17"/>
        <v>NL</v>
      </c>
      <c r="B194" s="837">
        <f t="shared" si="18"/>
        <v>177</v>
      </c>
      <c r="C194" s="192" t="s">
        <v>1416</v>
      </c>
      <c r="D194" s="296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3"/>
    </row>
    <row r="195" spans="1:13" ht="18" customHeight="1">
      <c r="A195" s="293" t="str">
        <f t="shared" si="17"/>
        <v>NL</v>
      </c>
      <c r="B195" s="837">
        <f t="shared" si="18"/>
        <v>178</v>
      </c>
      <c r="C195" s="192" t="s">
        <v>750</v>
      </c>
      <c r="D195" s="296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3"/>
    </row>
    <row r="196" spans="1:13" ht="18" customHeight="1">
      <c r="A196" s="293" t="str">
        <f t="shared" si="17"/>
        <v>NL</v>
      </c>
      <c r="B196" s="837">
        <f t="shared" si="18"/>
        <v>179</v>
      </c>
      <c r="C196" s="192" t="s">
        <v>731</v>
      </c>
      <c r="D196" s="296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3"/>
    </row>
    <row r="197" spans="1:13" ht="18" customHeight="1">
      <c r="A197" s="293" t="str">
        <f t="shared" si="17"/>
        <v>NL</v>
      </c>
      <c r="B197" s="837">
        <f t="shared" si="18"/>
        <v>180</v>
      </c>
      <c r="C197" s="192" t="s">
        <v>748</v>
      </c>
      <c r="D197" s="296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3"/>
    </row>
    <row r="198" spans="1:13" ht="18" customHeight="1">
      <c r="A198" s="293" t="str">
        <f t="shared" si="17"/>
        <v>NL</v>
      </c>
      <c r="B198" s="837">
        <f t="shared" si="18"/>
        <v>181</v>
      </c>
      <c r="C198" s="192" t="s">
        <v>1385</v>
      </c>
      <c r="D198" s="296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3"/>
    </row>
    <row r="199" spans="1:13" ht="18" customHeight="1">
      <c r="A199" s="293" t="str">
        <f t="shared" si="17"/>
        <v>NL</v>
      </c>
      <c r="B199" s="837">
        <f t="shared" si="18"/>
        <v>182</v>
      </c>
      <c r="C199" s="192" t="s">
        <v>1434</v>
      </c>
      <c r="D199" s="296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3"/>
    </row>
    <row r="200" spans="1:13" ht="18" customHeight="1">
      <c r="A200" s="293" t="str">
        <f t="shared" si="17"/>
        <v>NL</v>
      </c>
      <c r="B200" s="837">
        <f t="shared" si="18"/>
        <v>183</v>
      </c>
      <c r="C200" s="192" t="s">
        <v>1423</v>
      </c>
      <c r="D200" s="296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3"/>
    </row>
    <row r="201" spans="1:13" ht="18" customHeight="1">
      <c r="A201" s="293" t="str">
        <f t="shared" si="17"/>
        <v>NL</v>
      </c>
      <c r="B201" s="837">
        <f t="shared" si="18"/>
        <v>184</v>
      </c>
      <c r="C201" s="189" t="s">
        <v>645</v>
      </c>
      <c r="D201" s="296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3"/>
    </row>
    <row r="202" spans="1:13" ht="18" customHeight="1">
      <c r="A202" s="293" t="str">
        <f t="shared" ref="A202:A265" si="21">IF(B202&lt;&gt;"","NL","")</f>
        <v>NL</v>
      </c>
      <c r="B202" s="837">
        <f t="shared" ref="B202:B265" si="22">IF(C202&lt;&gt;"",B201+1,"")</f>
        <v>185</v>
      </c>
      <c r="C202" s="192" t="s">
        <v>619</v>
      </c>
      <c r="D202" s="296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3"/>
    </row>
    <row r="203" spans="1:13" ht="18" customHeight="1">
      <c r="A203" s="293" t="str">
        <f t="shared" si="21"/>
        <v>NL</v>
      </c>
      <c r="B203" s="837">
        <f t="shared" si="22"/>
        <v>186</v>
      </c>
      <c r="C203" s="192" t="s">
        <v>1324</v>
      </c>
      <c r="D203" s="296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3"/>
    </row>
    <row r="204" spans="1:13" ht="18" customHeight="1">
      <c r="A204" s="293" t="str">
        <f t="shared" si="21"/>
        <v>NL</v>
      </c>
      <c r="B204" s="837">
        <f t="shared" si="22"/>
        <v>187</v>
      </c>
      <c r="C204" s="192" t="s">
        <v>790</v>
      </c>
      <c r="D204" s="296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3"/>
    </row>
    <row r="205" spans="1:13" ht="18" customHeight="1">
      <c r="A205" s="293" t="str">
        <f t="shared" si="21"/>
        <v>NL</v>
      </c>
      <c r="B205" s="837">
        <f t="shared" si="22"/>
        <v>188</v>
      </c>
      <c r="C205" s="189" t="s">
        <v>1246</v>
      </c>
      <c r="D205" s="296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3"/>
    </row>
    <row r="206" spans="1:13" ht="18" customHeight="1">
      <c r="A206" s="293" t="str">
        <f t="shared" si="21"/>
        <v>NL</v>
      </c>
      <c r="B206" s="837">
        <f t="shared" si="22"/>
        <v>189</v>
      </c>
      <c r="C206" s="192" t="s">
        <v>1337</v>
      </c>
      <c r="D206" s="296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3"/>
    </row>
    <row r="207" spans="1:13" ht="18" customHeight="1">
      <c r="A207" s="293" t="str">
        <f t="shared" si="21"/>
        <v>NL</v>
      </c>
      <c r="B207" s="837">
        <f t="shared" si="22"/>
        <v>190</v>
      </c>
      <c r="C207" s="189" t="s">
        <v>1259</v>
      </c>
      <c r="D207" s="296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3"/>
    </row>
    <row r="208" spans="1:13" ht="18" customHeight="1">
      <c r="A208" s="293" t="str">
        <f t="shared" si="21"/>
        <v>NL</v>
      </c>
      <c r="B208" s="837">
        <f t="shared" si="22"/>
        <v>191</v>
      </c>
      <c r="C208" s="192" t="s">
        <v>1278</v>
      </c>
      <c r="D208" s="296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3"/>
    </row>
    <row r="209" spans="1:13" ht="18" customHeight="1">
      <c r="A209" s="293" t="str">
        <f t="shared" si="21"/>
        <v>NL</v>
      </c>
      <c r="B209" s="837">
        <f t="shared" si="22"/>
        <v>192</v>
      </c>
      <c r="C209" s="192" t="s">
        <v>789</v>
      </c>
      <c r="D209" s="296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3"/>
    </row>
    <row r="210" spans="1:13" ht="18" customHeight="1">
      <c r="A210" s="293" t="str">
        <f t="shared" si="21"/>
        <v>NL</v>
      </c>
      <c r="B210" s="837">
        <f t="shared" si="22"/>
        <v>193</v>
      </c>
      <c r="C210" s="192" t="s">
        <v>1288</v>
      </c>
      <c r="D210" s="296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3"/>
    </row>
    <row r="211" spans="1:13" ht="18" customHeight="1">
      <c r="A211" s="293" t="str">
        <f t="shared" si="21"/>
        <v>NL</v>
      </c>
      <c r="B211" s="837">
        <f t="shared" si="22"/>
        <v>194</v>
      </c>
      <c r="C211" s="189" t="s">
        <v>1256</v>
      </c>
      <c r="D211" s="296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3"/>
    </row>
    <row r="212" spans="1:13" ht="18" customHeight="1">
      <c r="A212" s="293" t="str">
        <f t="shared" si="21"/>
        <v>NL</v>
      </c>
      <c r="B212" s="837">
        <f t="shared" si="22"/>
        <v>195</v>
      </c>
      <c r="C212" s="192" t="s">
        <v>1299</v>
      </c>
      <c r="D212" s="296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3"/>
    </row>
    <row r="213" spans="1:13" ht="18" customHeight="1">
      <c r="A213" s="293" t="str">
        <f t="shared" si="21"/>
        <v>NL</v>
      </c>
      <c r="B213" s="837">
        <f t="shared" si="22"/>
        <v>196</v>
      </c>
      <c r="C213" s="192" t="s">
        <v>1347</v>
      </c>
      <c r="D213" s="296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3"/>
    </row>
    <row r="214" spans="1:13" ht="18" customHeight="1">
      <c r="A214" s="293" t="str">
        <f t="shared" si="21"/>
        <v>NL</v>
      </c>
      <c r="B214" s="837">
        <f t="shared" si="22"/>
        <v>197</v>
      </c>
      <c r="C214" s="192" t="s">
        <v>1348</v>
      </c>
      <c r="D214" s="296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3"/>
    </row>
    <row r="215" spans="1:13" ht="18" customHeight="1">
      <c r="A215" s="293" t="str">
        <f t="shared" si="21"/>
        <v>NL</v>
      </c>
      <c r="B215" s="837">
        <f t="shared" si="22"/>
        <v>198</v>
      </c>
      <c r="C215" s="192" t="s">
        <v>1263</v>
      </c>
      <c r="D215" s="296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3"/>
    </row>
    <row r="216" spans="1:13" ht="18" customHeight="1">
      <c r="A216" s="293" t="str">
        <f t="shared" si="21"/>
        <v>NL</v>
      </c>
      <c r="B216" s="837">
        <f t="shared" si="22"/>
        <v>199</v>
      </c>
      <c r="C216" s="192" t="s">
        <v>1341</v>
      </c>
      <c r="D216" s="296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3"/>
    </row>
    <row r="217" spans="1:13" ht="18" customHeight="1">
      <c r="A217" s="293" t="str">
        <f t="shared" si="21"/>
        <v>NL</v>
      </c>
      <c r="B217" s="837">
        <f t="shared" si="22"/>
        <v>200</v>
      </c>
      <c r="C217" s="192" t="s">
        <v>1317</v>
      </c>
      <c r="D217" s="296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3"/>
    </row>
    <row r="218" spans="1:13" ht="18" customHeight="1">
      <c r="A218" s="293" t="str">
        <f t="shared" si="21"/>
        <v>NL</v>
      </c>
      <c r="B218" s="837">
        <f t="shared" si="22"/>
        <v>201</v>
      </c>
      <c r="C218" s="192" t="s">
        <v>1339</v>
      </c>
      <c r="D218" s="296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3"/>
    </row>
    <row r="219" spans="1:13" ht="18" customHeight="1">
      <c r="A219" s="293" t="str">
        <f t="shared" si="21"/>
        <v>NL</v>
      </c>
      <c r="B219" s="837">
        <f t="shared" si="22"/>
        <v>202</v>
      </c>
      <c r="C219" s="192" t="s">
        <v>1362</v>
      </c>
      <c r="D219" s="296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3"/>
    </row>
    <row r="220" spans="1:13" ht="18" customHeight="1">
      <c r="A220" s="293" t="str">
        <f t="shared" si="21"/>
        <v>NL</v>
      </c>
      <c r="B220" s="837">
        <f t="shared" si="22"/>
        <v>203</v>
      </c>
      <c r="C220" s="192" t="s">
        <v>1306</v>
      </c>
      <c r="D220" s="296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3"/>
    </row>
    <row r="221" spans="1:13" ht="18" customHeight="1">
      <c r="A221" s="293" t="str">
        <f t="shared" si="21"/>
        <v>NL</v>
      </c>
      <c r="B221" s="837">
        <f t="shared" si="22"/>
        <v>204</v>
      </c>
      <c r="C221" s="192" t="s">
        <v>1310</v>
      </c>
      <c r="D221" s="296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3"/>
    </row>
    <row r="222" spans="1:13" ht="18" customHeight="1">
      <c r="A222" s="293" t="str">
        <f t="shared" si="21"/>
        <v>NL</v>
      </c>
      <c r="B222" s="837">
        <f t="shared" si="22"/>
        <v>205</v>
      </c>
      <c r="C222" s="192" t="s">
        <v>1282</v>
      </c>
      <c r="D222" s="296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3"/>
    </row>
    <row r="223" spans="1:13" ht="18" customHeight="1">
      <c r="A223" s="293" t="str">
        <f t="shared" si="21"/>
        <v>NL</v>
      </c>
      <c r="B223" s="837">
        <f t="shared" si="22"/>
        <v>206</v>
      </c>
      <c r="C223" s="192" t="s">
        <v>1264</v>
      </c>
      <c r="D223" s="296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3"/>
    </row>
    <row r="224" spans="1:13" ht="18" customHeight="1">
      <c r="A224" s="293" t="str">
        <f t="shared" si="21"/>
        <v>NL</v>
      </c>
      <c r="B224" s="837">
        <f t="shared" si="22"/>
        <v>207</v>
      </c>
      <c r="C224" s="189" t="s">
        <v>1244</v>
      </c>
      <c r="D224" s="296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3"/>
    </row>
    <row r="225" spans="1:13" ht="18" customHeight="1">
      <c r="A225" s="293" t="str">
        <f t="shared" si="21"/>
        <v>NL</v>
      </c>
      <c r="B225" s="837">
        <f t="shared" si="22"/>
        <v>208</v>
      </c>
      <c r="C225" s="192" t="s">
        <v>1335</v>
      </c>
      <c r="D225" s="296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3"/>
    </row>
    <row r="226" spans="1:13" ht="18" customHeight="1">
      <c r="A226" s="293" t="str">
        <f t="shared" si="21"/>
        <v>NL</v>
      </c>
      <c r="B226" s="837">
        <f t="shared" si="22"/>
        <v>209</v>
      </c>
      <c r="C226" s="192" t="s">
        <v>1309</v>
      </c>
      <c r="D226" s="296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3"/>
    </row>
    <row r="227" spans="1:13" ht="18" customHeight="1">
      <c r="A227" s="293" t="str">
        <f t="shared" si="21"/>
        <v>NL</v>
      </c>
      <c r="B227" s="837">
        <f t="shared" si="22"/>
        <v>210</v>
      </c>
      <c r="C227" s="192" t="s">
        <v>1283</v>
      </c>
      <c r="D227" s="296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3"/>
    </row>
    <row r="228" spans="1:13" ht="18" customHeight="1">
      <c r="A228" s="293" t="str">
        <f t="shared" si="21"/>
        <v>NL</v>
      </c>
      <c r="B228" s="837">
        <f t="shared" si="22"/>
        <v>211</v>
      </c>
      <c r="C228" s="192" t="s">
        <v>1356</v>
      </c>
      <c r="D228" s="296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3"/>
    </row>
    <row r="229" spans="1:13" ht="18" customHeight="1">
      <c r="A229" s="293" t="str">
        <f t="shared" si="21"/>
        <v>NL</v>
      </c>
      <c r="B229" s="837">
        <f t="shared" si="22"/>
        <v>212</v>
      </c>
      <c r="C229" s="192" t="s">
        <v>1308</v>
      </c>
      <c r="D229" s="296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3"/>
    </row>
    <row r="230" spans="1:13" ht="18" customHeight="1">
      <c r="A230" s="293" t="str">
        <f t="shared" si="21"/>
        <v>NL</v>
      </c>
      <c r="B230" s="837">
        <f t="shared" si="22"/>
        <v>213</v>
      </c>
      <c r="C230" s="192" t="s">
        <v>1343</v>
      </c>
      <c r="D230" s="296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3"/>
    </row>
    <row r="231" spans="1:13" ht="18" customHeight="1">
      <c r="A231" s="293" t="str">
        <f t="shared" si="21"/>
        <v>NL</v>
      </c>
      <c r="B231" s="837">
        <f t="shared" si="22"/>
        <v>214</v>
      </c>
      <c r="C231" s="192" t="s">
        <v>1297</v>
      </c>
      <c r="D231" s="296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3"/>
    </row>
    <row r="232" spans="1:13" ht="18" customHeight="1">
      <c r="A232" s="293" t="str">
        <f t="shared" si="21"/>
        <v>NL</v>
      </c>
      <c r="B232" s="837">
        <f t="shared" si="22"/>
        <v>215</v>
      </c>
      <c r="C232" s="297" t="s">
        <v>1241</v>
      </c>
      <c r="D232" s="296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3"/>
    </row>
    <row r="233" spans="1:13" ht="18" customHeight="1">
      <c r="A233" s="293" t="str">
        <f t="shared" si="21"/>
        <v>NL</v>
      </c>
      <c r="B233" s="837">
        <f t="shared" si="22"/>
        <v>216</v>
      </c>
      <c r="C233" s="192" t="s">
        <v>1315</v>
      </c>
      <c r="D233" s="296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3"/>
    </row>
    <row r="234" spans="1:13" ht="18" customHeight="1">
      <c r="A234" s="293" t="str">
        <f t="shared" si="21"/>
        <v>NL</v>
      </c>
      <c r="B234" s="837">
        <f t="shared" si="22"/>
        <v>217</v>
      </c>
      <c r="C234" s="192" t="s">
        <v>1298</v>
      </c>
      <c r="D234" s="296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3"/>
    </row>
    <row r="235" spans="1:13" ht="18" customHeight="1">
      <c r="A235" s="293" t="str">
        <f t="shared" si="21"/>
        <v>NL</v>
      </c>
      <c r="B235" s="837">
        <f t="shared" si="22"/>
        <v>218</v>
      </c>
      <c r="C235" s="192" t="s">
        <v>1266</v>
      </c>
      <c r="D235" s="296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3"/>
    </row>
    <row r="236" spans="1:13" ht="18" customHeight="1">
      <c r="A236" s="293" t="str">
        <f t="shared" si="21"/>
        <v>NL</v>
      </c>
      <c r="B236" s="837">
        <f t="shared" si="22"/>
        <v>219</v>
      </c>
      <c r="C236" s="192" t="s">
        <v>1304</v>
      </c>
      <c r="D236" s="296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3"/>
    </row>
    <row r="237" spans="1:13" ht="18" customHeight="1">
      <c r="A237" s="293" t="str">
        <f t="shared" si="21"/>
        <v>NL</v>
      </c>
      <c r="B237" s="837">
        <f t="shared" si="22"/>
        <v>220</v>
      </c>
      <c r="C237" s="192" t="s">
        <v>1300</v>
      </c>
      <c r="D237" s="296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3"/>
    </row>
    <row r="238" spans="1:13" ht="18" customHeight="1">
      <c r="A238" s="293" t="str">
        <f t="shared" si="21"/>
        <v>NL</v>
      </c>
      <c r="B238" s="837">
        <f t="shared" si="22"/>
        <v>221</v>
      </c>
      <c r="C238" s="192" t="s">
        <v>1265</v>
      </c>
      <c r="D238" s="296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3"/>
    </row>
    <row r="239" spans="1:13" ht="18" customHeight="1">
      <c r="A239" s="293" t="str">
        <f t="shared" si="21"/>
        <v>NL</v>
      </c>
      <c r="B239" s="837">
        <f t="shared" si="22"/>
        <v>222</v>
      </c>
      <c r="C239" s="192" t="s">
        <v>1294</v>
      </c>
      <c r="D239" s="296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3"/>
    </row>
    <row r="240" spans="1:13" ht="18" customHeight="1">
      <c r="A240" s="293" t="str">
        <f t="shared" si="21"/>
        <v>NL</v>
      </c>
      <c r="B240" s="837">
        <f t="shared" si="22"/>
        <v>223</v>
      </c>
      <c r="C240" s="192" t="s">
        <v>1305</v>
      </c>
      <c r="D240" s="296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3"/>
    </row>
    <row r="241" spans="1:13" ht="18" customHeight="1">
      <c r="A241" s="293" t="str">
        <f t="shared" si="21"/>
        <v>NL</v>
      </c>
      <c r="B241" s="837">
        <f t="shared" si="22"/>
        <v>224</v>
      </c>
      <c r="C241" s="192" t="s">
        <v>1357</v>
      </c>
      <c r="D241" s="296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3"/>
    </row>
    <row r="242" spans="1:13" ht="18" customHeight="1">
      <c r="A242" s="293" t="str">
        <f t="shared" si="21"/>
        <v>NL</v>
      </c>
      <c r="B242" s="837">
        <f t="shared" si="22"/>
        <v>225</v>
      </c>
      <c r="C242" s="192" t="s">
        <v>1330</v>
      </c>
      <c r="D242" s="296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3"/>
    </row>
    <row r="243" spans="1:13" ht="18" customHeight="1">
      <c r="A243" s="293" t="str">
        <f t="shared" si="21"/>
        <v>NL</v>
      </c>
      <c r="B243" s="837">
        <f t="shared" si="22"/>
        <v>226</v>
      </c>
      <c r="C243" s="192" t="s">
        <v>1292</v>
      </c>
      <c r="D243" s="296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3"/>
    </row>
    <row r="244" spans="1:13" ht="18" customHeight="1">
      <c r="A244" s="293" t="str">
        <f t="shared" si="21"/>
        <v>NL</v>
      </c>
      <c r="B244" s="837">
        <f t="shared" si="22"/>
        <v>227</v>
      </c>
      <c r="C244" s="192" t="s">
        <v>1327</v>
      </c>
      <c r="D244" s="296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3"/>
    </row>
    <row r="245" spans="1:13" ht="18" customHeight="1">
      <c r="A245" s="293" t="str">
        <f t="shared" si="21"/>
        <v>NL</v>
      </c>
      <c r="B245" s="837">
        <f t="shared" si="22"/>
        <v>228</v>
      </c>
      <c r="C245" s="192" t="s">
        <v>1269</v>
      </c>
      <c r="D245" s="296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3"/>
    </row>
    <row r="246" spans="1:13" ht="18" customHeight="1">
      <c r="A246" s="293" t="str">
        <f t="shared" si="21"/>
        <v>NL</v>
      </c>
      <c r="B246" s="837">
        <f t="shared" si="22"/>
        <v>229</v>
      </c>
      <c r="C246" s="192" t="s">
        <v>1340</v>
      </c>
      <c r="D246" s="296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3"/>
    </row>
    <row r="247" spans="1:13" ht="18" customHeight="1">
      <c r="A247" s="293" t="str">
        <f t="shared" si="21"/>
        <v>NL</v>
      </c>
      <c r="B247" s="837">
        <f t="shared" si="22"/>
        <v>230</v>
      </c>
      <c r="C247" s="192" t="s">
        <v>1267</v>
      </c>
      <c r="D247" s="296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3"/>
    </row>
    <row r="248" spans="1:13" ht="18" customHeight="1">
      <c r="A248" s="293" t="str">
        <f t="shared" si="21"/>
        <v>NL</v>
      </c>
      <c r="B248" s="837">
        <f t="shared" si="22"/>
        <v>231</v>
      </c>
      <c r="C248" s="297" t="s">
        <v>1242</v>
      </c>
      <c r="D248" s="296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3"/>
    </row>
    <row r="249" spans="1:13" ht="18" customHeight="1">
      <c r="A249" s="293" t="str">
        <f t="shared" si="21"/>
        <v>NL</v>
      </c>
      <c r="B249" s="837">
        <f t="shared" si="22"/>
        <v>232</v>
      </c>
      <c r="C249" s="192" t="s">
        <v>1296</v>
      </c>
      <c r="D249" s="296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3"/>
    </row>
    <row r="250" spans="1:13" ht="18" customHeight="1">
      <c r="A250" s="293" t="str">
        <f t="shared" si="21"/>
        <v>NL</v>
      </c>
      <c r="B250" s="837">
        <f t="shared" si="22"/>
        <v>233</v>
      </c>
      <c r="C250" s="192" t="s">
        <v>1312</v>
      </c>
      <c r="D250" s="296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3"/>
    </row>
    <row r="251" spans="1:13" ht="18" customHeight="1">
      <c r="A251" s="293" t="str">
        <f t="shared" si="21"/>
        <v>NL</v>
      </c>
      <c r="B251" s="837">
        <f t="shared" si="22"/>
        <v>234</v>
      </c>
      <c r="C251" s="192" t="s">
        <v>1363</v>
      </c>
      <c r="D251" s="296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3"/>
    </row>
    <row r="252" spans="1:13" ht="18" customHeight="1">
      <c r="A252" s="293" t="str">
        <f t="shared" si="21"/>
        <v>NL</v>
      </c>
      <c r="B252" s="837">
        <f t="shared" si="22"/>
        <v>235</v>
      </c>
      <c r="C252" s="189" t="s">
        <v>1255</v>
      </c>
      <c r="D252" s="296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3"/>
    </row>
    <row r="253" spans="1:13" ht="18" customHeight="1">
      <c r="A253" s="293" t="str">
        <f t="shared" si="21"/>
        <v>NL</v>
      </c>
      <c r="B253" s="837">
        <f t="shared" si="22"/>
        <v>236</v>
      </c>
      <c r="C253" s="297" t="s">
        <v>1243</v>
      </c>
      <c r="D253" s="296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3"/>
    </row>
    <row r="254" spans="1:13" ht="18" customHeight="1">
      <c r="A254" s="293" t="str">
        <f t="shared" si="21"/>
        <v>NL</v>
      </c>
      <c r="B254" s="837">
        <f t="shared" si="22"/>
        <v>237</v>
      </c>
      <c r="C254" s="192" t="s">
        <v>1318</v>
      </c>
      <c r="D254" s="296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3"/>
    </row>
    <row r="255" spans="1:13" ht="18" customHeight="1">
      <c r="A255" s="293" t="str">
        <f t="shared" si="21"/>
        <v>NL</v>
      </c>
      <c r="B255" s="837">
        <f t="shared" si="22"/>
        <v>238</v>
      </c>
      <c r="C255" s="192" t="s">
        <v>1313</v>
      </c>
      <c r="D255" s="296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3"/>
    </row>
    <row r="256" spans="1:13" ht="18" customHeight="1">
      <c r="A256" s="293" t="str">
        <f t="shared" si="21"/>
        <v>NL</v>
      </c>
      <c r="B256" s="837">
        <f t="shared" si="22"/>
        <v>239</v>
      </c>
      <c r="C256" s="192" t="s">
        <v>1332</v>
      </c>
      <c r="D256" s="296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3"/>
    </row>
    <row r="257" spans="1:13" ht="18" customHeight="1">
      <c r="A257" s="293" t="str">
        <f t="shared" si="21"/>
        <v>NL</v>
      </c>
      <c r="B257" s="837">
        <f t="shared" si="22"/>
        <v>240</v>
      </c>
      <c r="C257" s="189" t="s">
        <v>1247</v>
      </c>
      <c r="D257" s="296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3"/>
    </row>
    <row r="258" spans="1:13" ht="18" customHeight="1">
      <c r="A258" s="293" t="str">
        <f t="shared" si="21"/>
        <v>NL</v>
      </c>
      <c r="B258" s="837">
        <f t="shared" si="22"/>
        <v>241</v>
      </c>
      <c r="C258" s="192" t="s">
        <v>1286</v>
      </c>
      <c r="D258" s="296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3"/>
    </row>
    <row r="259" spans="1:13" ht="18" customHeight="1">
      <c r="A259" s="293" t="str">
        <f t="shared" si="21"/>
        <v>NL</v>
      </c>
      <c r="B259" s="837">
        <f t="shared" si="22"/>
        <v>242</v>
      </c>
      <c r="C259" s="192" t="s">
        <v>1331</v>
      </c>
      <c r="D259" s="296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3"/>
    </row>
    <row r="260" spans="1:13" ht="18" customHeight="1">
      <c r="A260" s="293" t="str">
        <f t="shared" si="21"/>
        <v>NL</v>
      </c>
      <c r="B260" s="837">
        <f t="shared" si="22"/>
        <v>243</v>
      </c>
      <c r="C260" s="192" t="s">
        <v>1274</v>
      </c>
      <c r="D260" s="296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3"/>
    </row>
    <row r="261" spans="1:13" ht="18" customHeight="1">
      <c r="A261" s="293" t="str">
        <f t="shared" si="21"/>
        <v>NL</v>
      </c>
      <c r="B261" s="837">
        <f t="shared" si="22"/>
        <v>244</v>
      </c>
      <c r="C261" s="192" t="s">
        <v>1328</v>
      </c>
      <c r="D261" s="296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3"/>
    </row>
    <row r="262" spans="1:13" ht="18" customHeight="1">
      <c r="A262" s="293" t="str">
        <f t="shared" si="21"/>
        <v>NL</v>
      </c>
      <c r="B262" s="837">
        <f t="shared" si="22"/>
        <v>245</v>
      </c>
      <c r="C262" s="189" t="s">
        <v>1254</v>
      </c>
      <c r="D262" s="296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3"/>
    </row>
    <row r="263" spans="1:13" ht="18" customHeight="1">
      <c r="A263" s="293" t="str">
        <f t="shared" si="21"/>
        <v>NL</v>
      </c>
      <c r="B263" s="837">
        <f t="shared" si="22"/>
        <v>246</v>
      </c>
      <c r="C263" s="192" t="s">
        <v>1268</v>
      </c>
      <c r="D263" s="296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3"/>
    </row>
    <row r="264" spans="1:13" ht="18" customHeight="1">
      <c r="A264" s="293" t="str">
        <f t="shared" si="21"/>
        <v>NL</v>
      </c>
      <c r="B264" s="837">
        <f t="shared" si="22"/>
        <v>247</v>
      </c>
      <c r="C264" s="192" t="s">
        <v>1311</v>
      </c>
      <c r="D264" s="296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3"/>
    </row>
    <row r="265" spans="1:13" ht="18" customHeight="1">
      <c r="A265" s="293" t="str">
        <f t="shared" si="21"/>
        <v>NL</v>
      </c>
      <c r="B265" s="837">
        <f t="shared" si="22"/>
        <v>248</v>
      </c>
      <c r="C265" s="192" t="s">
        <v>1361</v>
      </c>
      <c r="D265" s="296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3"/>
    </row>
    <row r="266" spans="1:13" ht="18" customHeight="1">
      <c r="A266" s="293" t="str">
        <f t="shared" ref="A266:A329" si="25">IF(B266&lt;&gt;"","NL","")</f>
        <v>NL</v>
      </c>
      <c r="B266" s="837">
        <f t="shared" ref="B266:B329" si="26">IF(C266&lt;&gt;"",B265+1,"")</f>
        <v>249</v>
      </c>
      <c r="C266" s="192" t="s">
        <v>1355</v>
      </c>
      <c r="D266" s="296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3"/>
    </row>
    <row r="267" spans="1:13" ht="18" customHeight="1">
      <c r="A267" s="293" t="str">
        <f t="shared" si="25"/>
        <v>NL</v>
      </c>
      <c r="B267" s="837">
        <f t="shared" si="26"/>
        <v>250</v>
      </c>
      <c r="C267" s="192" t="s">
        <v>1333</v>
      </c>
      <c r="D267" s="296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3"/>
    </row>
    <row r="268" spans="1:13" ht="18" customHeight="1">
      <c r="A268" s="293" t="str">
        <f t="shared" si="25"/>
        <v>NL</v>
      </c>
      <c r="B268" s="837">
        <f t="shared" si="26"/>
        <v>251</v>
      </c>
      <c r="C268" s="192" t="s">
        <v>1354</v>
      </c>
      <c r="D268" s="296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3"/>
    </row>
    <row r="269" spans="1:13" ht="18" customHeight="1">
      <c r="A269" s="293" t="str">
        <f t="shared" si="25"/>
        <v>NL</v>
      </c>
      <c r="B269" s="837">
        <f t="shared" si="26"/>
        <v>252</v>
      </c>
      <c r="C269" s="189" t="s">
        <v>1261</v>
      </c>
      <c r="D269" s="296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3"/>
    </row>
    <row r="270" spans="1:13" ht="18" customHeight="1">
      <c r="A270" s="293" t="str">
        <f t="shared" si="25"/>
        <v>NL</v>
      </c>
      <c r="B270" s="837">
        <f t="shared" si="26"/>
        <v>253</v>
      </c>
      <c r="C270" s="192" t="s">
        <v>1277</v>
      </c>
      <c r="D270" s="296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3"/>
    </row>
    <row r="271" spans="1:13" ht="18" customHeight="1">
      <c r="A271" s="293" t="str">
        <f t="shared" si="25"/>
        <v>NL</v>
      </c>
      <c r="B271" s="837">
        <f t="shared" si="26"/>
        <v>254</v>
      </c>
      <c r="C271" s="192" t="s">
        <v>1275</v>
      </c>
      <c r="D271" s="296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3"/>
    </row>
    <row r="272" spans="1:13" ht="18" customHeight="1">
      <c r="A272" s="293" t="str">
        <f t="shared" si="25"/>
        <v>NL</v>
      </c>
      <c r="B272" s="837">
        <f t="shared" si="26"/>
        <v>255</v>
      </c>
      <c r="C272" s="192" t="s">
        <v>1320</v>
      </c>
      <c r="D272" s="296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3"/>
    </row>
    <row r="273" spans="1:13" ht="18" customHeight="1">
      <c r="A273" s="293" t="str">
        <f t="shared" si="25"/>
        <v>NL</v>
      </c>
      <c r="B273" s="837">
        <f t="shared" si="26"/>
        <v>256</v>
      </c>
      <c r="C273" s="192" t="s">
        <v>1336</v>
      </c>
      <c r="D273" s="296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3"/>
    </row>
    <row r="274" spans="1:13" ht="18" customHeight="1">
      <c r="A274" s="293" t="str">
        <f t="shared" si="25"/>
        <v>NL</v>
      </c>
      <c r="B274" s="837">
        <f t="shared" si="26"/>
        <v>257</v>
      </c>
      <c r="C274" s="192" t="s">
        <v>1353</v>
      </c>
      <c r="D274" s="296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3"/>
    </row>
    <row r="275" spans="1:13" ht="18" customHeight="1">
      <c r="A275" s="293" t="str">
        <f t="shared" si="25"/>
        <v>NL</v>
      </c>
      <c r="B275" s="837">
        <f t="shared" si="26"/>
        <v>258</v>
      </c>
      <c r="C275" s="192" t="s">
        <v>1346</v>
      </c>
      <c r="D275" s="296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3"/>
    </row>
    <row r="276" spans="1:13" ht="18" customHeight="1">
      <c r="A276" s="293" t="str">
        <f t="shared" si="25"/>
        <v>NL</v>
      </c>
      <c r="B276" s="837">
        <f t="shared" si="26"/>
        <v>259</v>
      </c>
      <c r="C276" s="189" t="s">
        <v>1252</v>
      </c>
      <c r="D276" s="296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3"/>
    </row>
    <row r="277" spans="1:13" ht="18" customHeight="1">
      <c r="A277" s="293" t="str">
        <f t="shared" si="25"/>
        <v>NL</v>
      </c>
      <c r="B277" s="837">
        <f t="shared" si="26"/>
        <v>260</v>
      </c>
      <c r="C277" s="192" t="s">
        <v>1281</v>
      </c>
      <c r="D277" s="296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3"/>
    </row>
    <row r="278" spans="1:13" ht="18" customHeight="1">
      <c r="A278" s="293" t="str">
        <f t="shared" si="25"/>
        <v>NL</v>
      </c>
      <c r="B278" s="837">
        <f t="shared" si="26"/>
        <v>261</v>
      </c>
      <c r="C278" s="192" t="s">
        <v>1323</v>
      </c>
      <c r="D278" s="296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3"/>
    </row>
    <row r="279" spans="1:13" ht="18" customHeight="1">
      <c r="A279" s="293" t="str">
        <f t="shared" si="25"/>
        <v>NL</v>
      </c>
      <c r="B279" s="837">
        <f t="shared" si="26"/>
        <v>262</v>
      </c>
      <c r="C279" s="192" t="s">
        <v>1319</v>
      </c>
      <c r="D279" s="296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3"/>
    </row>
    <row r="280" spans="1:13" ht="18" customHeight="1">
      <c r="A280" s="293" t="str">
        <f t="shared" si="25"/>
        <v>NL</v>
      </c>
      <c r="B280" s="837">
        <f t="shared" si="26"/>
        <v>263</v>
      </c>
      <c r="C280" s="189" t="s">
        <v>1258</v>
      </c>
      <c r="D280" s="296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3"/>
    </row>
    <row r="281" spans="1:13" ht="18" customHeight="1">
      <c r="A281" s="293" t="str">
        <f t="shared" si="25"/>
        <v>NL</v>
      </c>
      <c r="B281" s="837">
        <f t="shared" si="26"/>
        <v>264</v>
      </c>
      <c r="C281" s="192" t="s">
        <v>1284</v>
      </c>
      <c r="D281" s="296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3"/>
    </row>
    <row r="282" spans="1:13" ht="18" customHeight="1">
      <c r="A282" s="293" t="str">
        <f t="shared" si="25"/>
        <v>NL</v>
      </c>
      <c r="B282" s="837">
        <f t="shared" si="26"/>
        <v>265</v>
      </c>
      <c r="C282" s="192" t="s">
        <v>1291</v>
      </c>
      <c r="D282" s="296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3"/>
    </row>
    <row r="283" spans="1:13" ht="18" customHeight="1">
      <c r="A283" s="293" t="str">
        <f t="shared" si="25"/>
        <v>NL</v>
      </c>
      <c r="B283" s="837">
        <f t="shared" si="26"/>
        <v>266</v>
      </c>
      <c r="C283" s="192" t="s">
        <v>1270</v>
      </c>
      <c r="D283" s="296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3"/>
    </row>
    <row r="284" spans="1:13" ht="18" customHeight="1">
      <c r="A284" s="293" t="str">
        <f t="shared" si="25"/>
        <v>NL</v>
      </c>
      <c r="B284" s="837">
        <f t="shared" si="26"/>
        <v>267</v>
      </c>
      <c r="C284" s="192" t="s">
        <v>1326</v>
      </c>
      <c r="D284" s="296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3"/>
    </row>
    <row r="285" spans="1:13" ht="18" customHeight="1">
      <c r="A285" s="293" t="str">
        <f t="shared" si="25"/>
        <v>NL</v>
      </c>
      <c r="B285" s="837">
        <f t="shared" si="26"/>
        <v>268</v>
      </c>
      <c r="C285" s="192" t="s">
        <v>1329</v>
      </c>
      <c r="D285" s="296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3"/>
    </row>
    <row r="286" spans="1:13" ht="18" customHeight="1">
      <c r="A286" s="293" t="str">
        <f t="shared" si="25"/>
        <v>NL</v>
      </c>
      <c r="B286" s="837">
        <f t="shared" si="26"/>
        <v>269</v>
      </c>
      <c r="C286" s="192" t="s">
        <v>1289</v>
      </c>
      <c r="D286" s="296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3"/>
    </row>
    <row r="287" spans="1:13" ht="18" customHeight="1">
      <c r="A287" s="293" t="str">
        <f t="shared" si="25"/>
        <v>NL</v>
      </c>
      <c r="B287" s="837">
        <f t="shared" si="26"/>
        <v>270</v>
      </c>
      <c r="C287" s="192" t="s">
        <v>1303</v>
      </c>
      <c r="D287" s="296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3"/>
    </row>
    <row r="288" spans="1:13" ht="18" customHeight="1">
      <c r="A288" s="293" t="str">
        <f t="shared" si="25"/>
        <v>NL</v>
      </c>
      <c r="B288" s="837">
        <f t="shared" si="26"/>
        <v>271</v>
      </c>
      <c r="C288" s="192" t="s">
        <v>1276</v>
      </c>
      <c r="D288" s="296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3"/>
    </row>
    <row r="289" spans="1:13" ht="18" customHeight="1">
      <c r="A289" s="293" t="str">
        <f t="shared" si="25"/>
        <v>NL</v>
      </c>
      <c r="B289" s="837">
        <f t="shared" si="26"/>
        <v>272</v>
      </c>
      <c r="C289" s="192" t="s">
        <v>1279</v>
      </c>
      <c r="D289" s="296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3"/>
    </row>
    <row r="290" spans="1:13" ht="18" customHeight="1">
      <c r="A290" s="293" t="str">
        <f t="shared" si="25"/>
        <v>NL</v>
      </c>
      <c r="B290" s="837">
        <f t="shared" si="26"/>
        <v>273</v>
      </c>
      <c r="C290" s="192" t="s">
        <v>1307</v>
      </c>
      <c r="D290" s="296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3"/>
    </row>
    <row r="291" spans="1:13" ht="18" customHeight="1">
      <c r="A291" s="293" t="str">
        <f t="shared" si="25"/>
        <v>NL</v>
      </c>
      <c r="B291" s="837">
        <f t="shared" si="26"/>
        <v>274</v>
      </c>
      <c r="C291" s="192" t="s">
        <v>1350</v>
      </c>
      <c r="D291" s="296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3"/>
    </row>
    <row r="292" spans="1:13" ht="18" customHeight="1">
      <c r="A292" s="293" t="str">
        <f t="shared" si="25"/>
        <v>NL</v>
      </c>
      <c r="B292" s="837">
        <f t="shared" si="26"/>
        <v>275</v>
      </c>
      <c r="C292" s="297" t="s">
        <v>1249</v>
      </c>
      <c r="D292" s="296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3"/>
    </row>
    <row r="293" spans="1:13" ht="18" customHeight="1">
      <c r="A293" s="293" t="str">
        <f t="shared" si="25"/>
        <v>NL</v>
      </c>
      <c r="B293" s="837">
        <f t="shared" si="26"/>
        <v>276</v>
      </c>
      <c r="C293" s="192" t="s">
        <v>1321</v>
      </c>
      <c r="D293" s="296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3"/>
    </row>
    <row r="294" spans="1:13" ht="18" customHeight="1">
      <c r="A294" s="293" t="str">
        <f t="shared" si="25"/>
        <v>NL</v>
      </c>
      <c r="B294" s="837">
        <f t="shared" si="26"/>
        <v>277</v>
      </c>
      <c r="C294" s="192" t="s">
        <v>1325</v>
      </c>
      <c r="D294" s="296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3"/>
    </row>
    <row r="295" spans="1:13" ht="18" customHeight="1">
      <c r="A295" s="293" t="str">
        <f t="shared" si="25"/>
        <v>NL</v>
      </c>
      <c r="B295" s="837">
        <f t="shared" si="26"/>
        <v>278</v>
      </c>
      <c r="C295" s="192" t="s">
        <v>1271</v>
      </c>
      <c r="D295" s="296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3"/>
    </row>
    <row r="296" spans="1:13" ht="18" customHeight="1">
      <c r="A296" s="293" t="str">
        <f t="shared" si="25"/>
        <v>NL</v>
      </c>
      <c r="B296" s="837">
        <f t="shared" si="26"/>
        <v>279</v>
      </c>
      <c r="C296" s="297" t="s">
        <v>1250</v>
      </c>
      <c r="D296" s="296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3"/>
    </row>
    <row r="297" spans="1:13" ht="18" customHeight="1">
      <c r="A297" s="293" t="str">
        <f t="shared" si="25"/>
        <v>NL</v>
      </c>
      <c r="B297" s="837">
        <f t="shared" si="26"/>
        <v>280</v>
      </c>
      <c r="C297" s="192" t="s">
        <v>1351</v>
      </c>
      <c r="D297" s="296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3"/>
    </row>
    <row r="298" spans="1:13" ht="18" customHeight="1">
      <c r="A298" s="293" t="str">
        <f t="shared" si="25"/>
        <v>NL</v>
      </c>
      <c r="B298" s="837">
        <f t="shared" si="26"/>
        <v>281</v>
      </c>
      <c r="C298" s="192" t="s">
        <v>1352</v>
      </c>
      <c r="D298" s="296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3"/>
    </row>
    <row r="299" spans="1:13" ht="18" customHeight="1">
      <c r="A299" s="293" t="str">
        <f t="shared" si="25"/>
        <v>NL</v>
      </c>
      <c r="B299" s="837">
        <f t="shared" si="26"/>
        <v>282</v>
      </c>
      <c r="C299" s="192" t="s">
        <v>1262</v>
      </c>
      <c r="D299" s="296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3"/>
    </row>
    <row r="300" spans="1:13" ht="18" customHeight="1">
      <c r="A300" s="293" t="str">
        <f t="shared" si="25"/>
        <v>NL</v>
      </c>
      <c r="B300" s="837">
        <f t="shared" si="26"/>
        <v>283</v>
      </c>
      <c r="C300" s="189" t="s">
        <v>1257</v>
      </c>
      <c r="D300" s="296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3"/>
    </row>
    <row r="301" spans="1:13" ht="18" customHeight="1">
      <c r="A301" s="293" t="str">
        <f t="shared" si="25"/>
        <v>NL</v>
      </c>
      <c r="B301" s="837">
        <f t="shared" si="26"/>
        <v>284</v>
      </c>
      <c r="C301" s="189" t="s">
        <v>1248</v>
      </c>
      <c r="D301" s="296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3"/>
    </row>
    <row r="302" spans="1:13" ht="18" customHeight="1">
      <c r="A302" s="293" t="str">
        <f t="shared" si="25"/>
        <v>NL</v>
      </c>
      <c r="B302" s="837">
        <f t="shared" si="26"/>
        <v>285</v>
      </c>
      <c r="C302" s="192" t="s">
        <v>1295</v>
      </c>
      <c r="D302" s="296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3"/>
    </row>
    <row r="303" spans="1:13" ht="18" customHeight="1">
      <c r="A303" s="293" t="str">
        <f t="shared" si="25"/>
        <v>NL</v>
      </c>
      <c r="B303" s="837">
        <f t="shared" si="26"/>
        <v>286</v>
      </c>
      <c r="C303" s="192" t="s">
        <v>1345</v>
      </c>
      <c r="D303" s="296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3"/>
    </row>
    <row r="304" spans="1:13" ht="18" customHeight="1">
      <c r="A304" s="293" t="str">
        <f t="shared" si="25"/>
        <v>NL</v>
      </c>
      <c r="B304" s="837">
        <f t="shared" si="26"/>
        <v>287</v>
      </c>
      <c r="C304" s="192" t="s">
        <v>1272</v>
      </c>
      <c r="D304" s="296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3"/>
    </row>
    <row r="305" spans="1:13" ht="18" customHeight="1">
      <c r="A305" s="293" t="str">
        <f t="shared" si="25"/>
        <v>NL</v>
      </c>
      <c r="B305" s="837">
        <f t="shared" si="26"/>
        <v>288</v>
      </c>
      <c r="C305" s="189" t="s">
        <v>1251</v>
      </c>
      <c r="D305" s="296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3"/>
    </row>
    <row r="306" spans="1:13" ht="18" customHeight="1">
      <c r="A306" s="293" t="str">
        <f t="shared" si="25"/>
        <v>NL</v>
      </c>
      <c r="B306" s="837">
        <f t="shared" si="26"/>
        <v>289</v>
      </c>
      <c r="C306" s="192" t="s">
        <v>1280</v>
      </c>
      <c r="D306" s="296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3"/>
    </row>
    <row r="307" spans="1:13" ht="18" customHeight="1">
      <c r="A307" s="293" t="str">
        <f t="shared" si="25"/>
        <v>NL</v>
      </c>
      <c r="B307" s="837">
        <f t="shared" si="26"/>
        <v>290</v>
      </c>
      <c r="C307" s="192" t="s">
        <v>1349</v>
      </c>
      <c r="D307" s="296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3"/>
    </row>
    <row r="308" spans="1:13" ht="18" customHeight="1">
      <c r="A308" s="293" t="str">
        <f t="shared" si="25"/>
        <v>NL</v>
      </c>
      <c r="B308" s="837">
        <f t="shared" si="26"/>
        <v>291</v>
      </c>
      <c r="C308" s="192" t="s">
        <v>1287</v>
      </c>
      <c r="D308" s="296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3"/>
    </row>
    <row r="309" spans="1:13" ht="18" customHeight="1">
      <c r="A309" s="293" t="str">
        <f t="shared" si="25"/>
        <v>NL</v>
      </c>
      <c r="B309" s="837">
        <f t="shared" si="26"/>
        <v>292</v>
      </c>
      <c r="C309" s="192" t="s">
        <v>1364</v>
      </c>
      <c r="D309" s="296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3"/>
    </row>
    <row r="310" spans="1:13" ht="18" customHeight="1">
      <c r="A310" s="293" t="str">
        <f t="shared" si="25"/>
        <v>NL</v>
      </c>
      <c r="B310" s="837">
        <f t="shared" si="26"/>
        <v>293</v>
      </c>
      <c r="C310" s="189" t="s">
        <v>1245</v>
      </c>
      <c r="D310" s="296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3"/>
    </row>
    <row r="311" spans="1:13" ht="18" customHeight="1">
      <c r="A311" s="293" t="str">
        <f t="shared" si="25"/>
        <v>NL</v>
      </c>
      <c r="B311" s="837">
        <f t="shared" si="26"/>
        <v>294</v>
      </c>
      <c r="C311" s="189" t="s">
        <v>1260</v>
      </c>
      <c r="D311" s="296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3"/>
    </row>
    <row r="312" spans="1:13" ht="18" customHeight="1">
      <c r="A312" s="293" t="str">
        <f t="shared" si="25"/>
        <v>NL</v>
      </c>
      <c r="B312" s="837">
        <f t="shared" si="26"/>
        <v>295</v>
      </c>
      <c r="C312" s="192" t="s">
        <v>1322</v>
      </c>
      <c r="D312" s="296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3"/>
    </row>
    <row r="313" spans="1:13" ht="18" customHeight="1">
      <c r="A313" s="293" t="str">
        <f t="shared" si="25"/>
        <v>NL</v>
      </c>
      <c r="B313" s="837">
        <f t="shared" si="26"/>
        <v>296</v>
      </c>
      <c r="C313" s="192" t="s">
        <v>1285</v>
      </c>
      <c r="D313" s="296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3"/>
    </row>
    <row r="314" spans="1:13" ht="18" customHeight="1">
      <c r="A314" s="293" t="str">
        <f t="shared" si="25"/>
        <v>NL</v>
      </c>
      <c r="B314" s="837">
        <f t="shared" si="26"/>
        <v>297</v>
      </c>
      <c r="C314" s="192" t="s">
        <v>1344</v>
      </c>
      <c r="D314" s="296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3"/>
    </row>
    <row r="315" spans="1:13" ht="18" customHeight="1">
      <c r="A315" s="293" t="str">
        <f t="shared" si="25"/>
        <v>NL</v>
      </c>
      <c r="B315" s="837">
        <f t="shared" si="26"/>
        <v>298</v>
      </c>
      <c r="C315" s="192" t="s">
        <v>1301</v>
      </c>
      <c r="D315" s="296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3"/>
    </row>
    <row r="316" spans="1:13" ht="18" customHeight="1">
      <c r="A316" s="293" t="str">
        <f t="shared" si="25"/>
        <v>NL</v>
      </c>
      <c r="B316" s="837">
        <f t="shared" si="26"/>
        <v>299</v>
      </c>
      <c r="C316" s="192" t="s">
        <v>1338</v>
      </c>
      <c r="D316" s="296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3"/>
    </row>
    <row r="317" spans="1:13" ht="18" customHeight="1">
      <c r="A317" s="293" t="str">
        <f t="shared" si="25"/>
        <v>NL</v>
      </c>
      <c r="B317" s="837">
        <f t="shared" si="26"/>
        <v>300</v>
      </c>
      <c r="C317" s="192" t="s">
        <v>1290</v>
      </c>
      <c r="D317" s="296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3"/>
    </row>
    <row r="318" spans="1:13" ht="18" customHeight="1">
      <c r="A318" s="293" t="str">
        <f t="shared" si="25"/>
        <v>NL</v>
      </c>
      <c r="B318" s="837">
        <f t="shared" si="26"/>
        <v>301</v>
      </c>
      <c r="C318" s="192" t="s">
        <v>1316</v>
      </c>
      <c r="D318" s="296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3"/>
    </row>
    <row r="319" spans="1:13" ht="18" customHeight="1">
      <c r="A319" s="293" t="str">
        <f t="shared" si="25"/>
        <v>NL</v>
      </c>
      <c r="B319" s="837">
        <f t="shared" si="26"/>
        <v>302</v>
      </c>
      <c r="C319" s="192" t="s">
        <v>1314</v>
      </c>
      <c r="D319" s="296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3"/>
    </row>
    <row r="320" spans="1:13" ht="18" customHeight="1">
      <c r="A320" s="293" t="str">
        <f t="shared" si="25"/>
        <v>NL</v>
      </c>
      <c r="B320" s="837">
        <f t="shared" si="26"/>
        <v>303</v>
      </c>
      <c r="C320" s="189" t="s">
        <v>1253</v>
      </c>
      <c r="D320" s="296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3"/>
    </row>
    <row r="321" spans="1:13" ht="18" customHeight="1">
      <c r="A321" s="293" t="str">
        <f t="shared" si="25"/>
        <v>NL</v>
      </c>
      <c r="B321" s="837">
        <f t="shared" si="26"/>
        <v>304</v>
      </c>
      <c r="C321" s="192" t="s">
        <v>1273</v>
      </c>
      <c r="D321" s="296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3"/>
    </row>
    <row r="322" spans="1:13" ht="18" customHeight="1">
      <c r="A322" s="293" t="str">
        <f t="shared" si="25"/>
        <v>NL</v>
      </c>
      <c r="B322" s="837">
        <f t="shared" si="26"/>
        <v>305</v>
      </c>
      <c r="C322" s="192" t="s">
        <v>1358</v>
      </c>
      <c r="D322" s="296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3"/>
    </row>
    <row r="323" spans="1:13" ht="18" customHeight="1">
      <c r="A323" s="293" t="str">
        <f t="shared" si="25"/>
        <v>NL</v>
      </c>
      <c r="B323" s="837">
        <f t="shared" si="26"/>
        <v>306</v>
      </c>
      <c r="C323" s="192" t="s">
        <v>1360</v>
      </c>
      <c r="D323" s="296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3"/>
    </row>
    <row r="324" spans="1:13" ht="18" customHeight="1">
      <c r="A324" s="293" t="str">
        <f t="shared" si="25"/>
        <v>NL</v>
      </c>
      <c r="B324" s="837">
        <f t="shared" si="26"/>
        <v>307</v>
      </c>
      <c r="C324" s="192" t="s">
        <v>1302</v>
      </c>
      <c r="D324" s="296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3"/>
    </row>
    <row r="325" spans="1:13" ht="18" customHeight="1">
      <c r="A325" s="293" t="str">
        <f t="shared" si="25"/>
        <v>NL</v>
      </c>
      <c r="B325" s="837">
        <f t="shared" si="26"/>
        <v>308</v>
      </c>
      <c r="C325" s="192" t="s">
        <v>1359</v>
      </c>
      <c r="D325" s="296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3"/>
    </row>
    <row r="326" spans="1:13" ht="18" customHeight="1">
      <c r="A326" s="293" t="str">
        <f t="shared" si="25"/>
        <v>NL</v>
      </c>
      <c r="B326" s="837">
        <f t="shared" si="26"/>
        <v>309</v>
      </c>
      <c r="C326" s="192" t="s">
        <v>752</v>
      </c>
      <c r="D326" s="296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3"/>
    </row>
    <row r="327" spans="1:13" ht="18" customHeight="1">
      <c r="A327" s="293" t="str">
        <f t="shared" si="25"/>
        <v>NL</v>
      </c>
      <c r="B327" s="837">
        <f t="shared" si="26"/>
        <v>310</v>
      </c>
      <c r="C327" s="192" t="s">
        <v>1293</v>
      </c>
      <c r="D327" s="296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3"/>
    </row>
    <row r="328" spans="1:13" ht="18" customHeight="1">
      <c r="A328" s="293" t="str">
        <f t="shared" si="25"/>
        <v>NL</v>
      </c>
      <c r="B328" s="837">
        <f t="shared" si="26"/>
        <v>311</v>
      </c>
      <c r="C328" s="192" t="s">
        <v>1342</v>
      </c>
      <c r="D328" s="296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3"/>
    </row>
    <row r="329" spans="1:13" ht="18" customHeight="1">
      <c r="A329" s="293" t="str">
        <f t="shared" si="25"/>
        <v>NL</v>
      </c>
      <c r="B329" s="837">
        <f t="shared" si="26"/>
        <v>312</v>
      </c>
      <c r="C329" s="192" t="s">
        <v>751</v>
      </c>
      <c r="D329" s="296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3"/>
    </row>
    <row r="330" spans="1:13" ht="18" customHeight="1">
      <c r="A330" s="293" t="str">
        <f t="shared" ref="A330:A341" si="29">IF(B330&lt;&gt;"","NL","")</f>
        <v>NL</v>
      </c>
      <c r="B330" s="837">
        <f t="shared" ref="B330:B341" si="30">IF(C330&lt;&gt;"",B329+1,"")</f>
        <v>313</v>
      </c>
      <c r="C330" s="192" t="s">
        <v>787</v>
      </c>
      <c r="D330" s="296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3"/>
    </row>
    <row r="331" spans="1:13" ht="18" customHeight="1">
      <c r="A331" s="293" t="str">
        <f t="shared" si="29"/>
        <v>NL</v>
      </c>
      <c r="B331" s="837">
        <f t="shared" si="30"/>
        <v>314</v>
      </c>
      <c r="C331" s="192" t="s">
        <v>1334</v>
      </c>
      <c r="D331" s="296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3"/>
    </row>
    <row r="332" spans="1:13" ht="18" customHeight="1">
      <c r="A332" s="293" t="str">
        <f t="shared" si="29"/>
        <v>NL</v>
      </c>
      <c r="B332" s="837">
        <f t="shared" si="30"/>
        <v>315</v>
      </c>
      <c r="C332" s="192" t="s">
        <v>837</v>
      </c>
      <c r="D332" s="296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3"/>
    </row>
    <row r="333" spans="1:13" ht="18" customHeight="1">
      <c r="A333" s="293" t="str">
        <f t="shared" si="29"/>
        <v>NL</v>
      </c>
      <c r="B333" s="837">
        <f t="shared" si="30"/>
        <v>316</v>
      </c>
      <c r="C333" s="192" t="s">
        <v>828</v>
      </c>
      <c r="D333" s="296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3"/>
    </row>
    <row r="334" spans="1:13" ht="18" customHeight="1">
      <c r="A334" s="293" t="str">
        <f t="shared" si="29"/>
        <v>NL</v>
      </c>
      <c r="B334" s="837">
        <f t="shared" si="30"/>
        <v>317</v>
      </c>
      <c r="C334" s="192" t="s">
        <v>827</v>
      </c>
      <c r="D334" s="296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3"/>
    </row>
    <row r="335" spans="1:13" ht="18" customHeight="1">
      <c r="A335" s="293" t="str">
        <f t="shared" si="29"/>
        <v>NL</v>
      </c>
      <c r="B335" s="837">
        <f t="shared" si="30"/>
        <v>318</v>
      </c>
      <c r="C335" s="192" t="s">
        <v>826</v>
      </c>
      <c r="D335" s="296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3"/>
    </row>
    <row r="336" spans="1:13" ht="18" customHeight="1">
      <c r="A336" s="293" t="str">
        <f t="shared" si="29"/>
        <v>NL</v>
      </c>
      <c r="B336" s="837">
        <f t="shared" si="30"/>
        <v>319</v>
      </c>
      <c r="C336" s="192" t="s">
        <v>823</v>
      </c>
      <c r="D336" s="296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3"/>
    </row>
    <row r="337" spans="1:13" ht="18" customHeight="1">
      <c r="A337" s="293" t="str">
        <f t="shared" si="29"/>
        <v>NL</v>
      </c>
      <c r="B337" s="837">
        <f t="shared" si="30"/>
        <v>320</v>
      </c>
      <c r="C337" s="192" t="s">
        <v>758</v>
      </c>
      <c r="D337" s="296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3"/>
    </row>
    <row r="338" spans="1:13" ht="18" customHeight="1">
      <c r="A338" s="293" t="str">
        <f t="shared" si="29"/>
        <v>NL</v>
      </c>
      <c r="B338" s="837">
        <f t="shared" si="30"/>
        <v>321</v>
      </c>
      <c r="C338" s="192" t="s">
        <v>755</v>
      </c>
      <c r="D338" s="296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3"/>
    </row>
    <row r="339" spans="1:13" ht="18" customHeight="1">
      <c r="A339" s="293" t="str">
        <f t="shared" si="29"/>
        <v>NL</v>
      </c>
      <c r="B339" s="837">
        <f t="shared" si="30"/>
        <v>322</v>
      </c>
      <c r="C339" s="192" t="s">
        <v>852</v>
      </c>
      <c r="D339" s="296" t="s">
        <v>544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3"/>
    </row>
    <row r="340" spans="1:13" ht="18" customHeight="1">
      <c r="A340" s="293" t="str">
        <f t="shared" si="29"/>
        <v>NL</v>
      </c>
      <c r="B340" s="837">
        <f t="shared" si="30"/>
        <v>323</v>
      </c>
      <c r="C340" s="192" t="s">
        <v>850</v>
      </c>
      <c r="D340" s="296" t="s">
        <v>544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3"/>
    </row>
    <row r="341" spans="1:13" ht="18" customHeight="1">
      <c r="A341" s="293" t="str">
        <f t="shared" si="29"/>
        <v>NL</v>
      </c>
      <c r="B341" s="837">
        <f t="shared" si="30"/>
        <v>324</v>
      </c>
      <c r="C341" s="192" t="s">
        <v>853</v>
      </c>
      <c r="D341" s="296" t="s">
        <v>544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3"/>
    </row>
    <row r="342" spans="1:13" ht="19.5" customHeight="1">
      <c r="A342" s="293"/>
      <c r="B342" s="837"/>
      <c r="C342" s="40"/>
      <c r="D342" s="296"/>
      <c r="E342" s="8"/>
      <c r="F342" s="8"/>
      <c r="G342" s="25"/>
      <c r="H342" s="25"/>
      <c r="I342" s="25"/>
      <c r="J342" s="25"/>
      <c r="K342" s="8"/>
      <c r="L342" s="8"/>
      <c r="M342" s="293"/>
    </row>
    <row r="343" spans="1:13" ht="19.5" customHeight="1">
      <c r="A343" s="293" t="str">
        <f t="shared" ref="A343" si="33">IF(B343&lt;&gt;"","NL","")</f>
        <v/>
      </c>
      <c r="B343" s="292"/>
      <c r="C343" s="301" t="s">
        <v>376</v>
      </c>
      <c r="D343" s="292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3"/>
    </row>
    <row r="344" spans="1:13" ht="19.5" customHeight="1">
      <c r="A344" s="293"/>
      <c r="B344" s="481"/>
      <c r="C344" s="482"/>
      <c r="D344" s="481"/>
      <c r="E344" s="483"/>
      <c r="F344" s="483">
        <f>F343-CDPS!C20</f>
        <v>0</v>
      </c>
      <c r="G344" s="483"/>
      <c r="H344" s="483">
        <f>H343-CDPS!E20</f>
        <v>0</v>
      </c>
      <c r="I344" s="483"/>
      <c r="J344" s="483">
        <f>J343-CDPS!F20</f>
        <v>0</v>
      </c>
      <c r="K344" s="483"/>
      <c r="L344" s="483">
        <f>L343-CDPS!G20</f>
        <v>0</v>
      </c>
      <c r="M344" s="293"/>
    </row>
    <row r="345" spans="1:13" ht="19.5" customHeight="1">
      <c r="A345" s="293" t="str">
        <f t="shared" ref="A345:A381" si="35">IF(B345&lt;&gt;"","TP","")</f>
        <v>TP</v>
      </c>
      <c r="B345" s="305">
        <f t="shared" ref="B345:B381" si="36">IF(C345&lt;&gt;"",B344+1,"")</f>
        <v>1</v>
      </c>
      <c r="C345" s="192" t="s">
        <v>934</v>
      </c>
      <c r="D345" s="304" t="s">
        <v>1743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4457985</v>
      </c>
      <c r="I345" s="25">
        <f t="array" ref="I345">SUM(IF("155"&amp;C345=KHC&amp;MH,SL))</f>
        <v>1420</v>
      </c>
      <c r="J345" s="25">
        <f t="array" ref="J345">SUM(IF("155"&amp;C345=KHC&amp;MH,TH))</f>
        <v>4457985</v>
      </c>
      <c r="K345" s="25">
        <f t="shared" ref="K345:K406" si="37">E345+G345-I345</f>
        <v>0</v>
      </c>
      <c r="L345" s="25">
        <f t="shared" ref="L345:L406" si="38">F345+H345-J345</f>
        <v>0</v>
      </c>
      <c r="M345" s="293"/>
    </row>
    <row r="346" spans="1:13" ht="19.5" customHeight="1">
      <c r="A346" s="293" t="str">
        <f t="shared" si="35"/>
        <v>TP</v>
      </c>
      <c r="B346" s="305">
        <f t="shared" si="36"/>
        <v>2</v>
      </c>
      <c r="C346" s="870" t="s">
        <v>726</v>
      </c>
      <c r="D346" s="304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3"/>
    </row>
    <row r="347" spans="1:13" ht="19.5" customHeight="1">
      <c r="A347" s="293" t="str">
        <f t="shared" si="35"/>
        <v>TP</v>
      </c>
      <c r="B347" s="305">
        <f t="shared" si="36"/>
        <v>3</v>
      </c>
      <c r="C347" s="192" t="s">
        <v>722</v>
      </c>
      <c r="D347" s="304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3"/>
    </row>
    <row r="348" spans="1:13" ht="19.5" customHeight="1">
      <c r="A348" s="293" t="str">
        <f t="shared" si="35"/>
        <v>TP</v>
      </c>
      <c r="B348" s="305">
        <f t="shared" si="36"/>
        <v>4</v>
      </c>
      <c r="C348" s="192" t="s">
        <v>737</v>
      </c>
      <c r="D348" s="304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3"/>
    </row>
    <row r="349" spans="1:13" ht="19.5" customHeight="1">
      <c r="A349" s="293" t="str">
        <f t="shared" si="35"/>
        <v>TP</v>
      </c>
      <c r="B349" s="305">
        <f t="shared" si="36"/>
        <v>5</v>
      </c>
      <c r="C349" s="192" t="s">
        <v>739</v>
      </c>
      <c r="D349" s="304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3"/>
    </row>
    <row r="350" spans="1:13" ht="19.5" customHeight="1">
      <c r="A350" s="293" t="str">
        <f t="shared" si="35"/>
        <v>TP</v>
      </c>
      <c r="B350" s="305">
        <f t="shared" si="36"/>
        <v>6</v>
      </c>
      <c r="C350" s="192" t="s">
        <v>724</v>
      </c>
      <c r="D350" s="304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3"/>
    </row>
    <row r="351" spans="1:13" ht="19.5" customHeight="1">
      <c r="A351" s="293" t="str">
        <f t="shared" si="35"/>
        <v>TP</v>
      </c>
      <c r="B351" s="305">
        <f t="shared" si="36"/>
        <v>7</v>
      </c>
      <c r="C351" s="192" t="s">
        <v>725</v>
      </c>
      <c r="D351" s="304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3"/>
    </row>
    <row r="352" spans="1:13" ht="19.5" customHeight="1">
      <c r="A352" s="293" t="str">
        <f t="shared" ref="A352:A357" si="39">IF(B352&lt;&gt;"","TP","")</f>
        <v>TP</v>
      </c>
      <c r="B352" s="305">
        <f t="shared" ref="B352:B357" si="40">IF(C352&lt;&gt;"",B351+1,"")</f>
        <v>8</v>
      </c>
      <c r="C352" s="192" t="s">
        <v>723</v>
      </c>
      <c r="D352" s="304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3"/>
    </row>
    <row r="353" spans="1:13" ht="19.5" customHeight="1">
      <c r="A353" s="293" t="str">
        <f t="shared" si="39"/>
        <v>TP</v>
      </c>
      <c r="B353" s="305">
        <f t="shared" si="40"/>
        <v>9</v>
      </c>
      <c r="C353" s="192" t="s">
        <v>741</v>
      </c>
      <c r="D353" s="304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3"/>
    </row>
    <row r="354" spans="1:13" ht="19.5" customHeight="1">
      <c r="A354" s="293" t="str">
        <f t="shared" si="39"/>
        <v>TP</v>
      </c>
      <c r="B354" s="305">
        <f t="shared" si="40"/>
        <v>10</v>
      </c>
      <c r="C354" s="192" t="s">
        <v>727</v>
      </c>
      <c r="D354" s="304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3"/>
    </row>
    <row r="355" spans="1:13" ht="19.5" customHeight="1">
      <c r="A355" s="293" t="str">
        <f t="shared" si="39"/>
        <v>TP</v>
      </c>
      <c r="B355" s="305">
        <f t="shared" si="40"/>
        <v>11</v>
      </c>
      <c r="C355" s="192" t="s">
        <v>1112</v>
      </c>
      <c r="D355" s="304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12476964</v>
      </c>
      <c r="I355" s="25">
        <f t="array" ref="I355">SUM(IF("155"&amp;C355=KHC&amp;MH,SL))</f>
        <v>7996</v>
      </c>
      <c r="J355" s="25">
        <f t="array" ref="J355">SUM(IF("155"&amp;C355=KHC&amp;MH,TH))</f>
        <v>12476964</v>
      </c>
      <c r="K355" s="8">
        <f t="shared" si="37"/>
        <v>0</v>
      </c>
      <c r="L355" s="8">
        <f t="shared" si="38"/>
        <v>0</v>
      </c>
      <c r="M355" s="293"/>
    </row>
    <row r="356" spans="1:13" ht="19.5" customHeight="1">
      <c r="A356" s="293" t="str">
        <f t="shared" si="39"/>
        <v>TP</v>
      </c>
      <c r="B356" s="305">
        <f t="shared" si="40"/>
        <v>12</v>
      </c>
      <c r="C356" s="192" t="s">
        <v>1191</v>
      </c>
      <c r="D356" s="304" t="s">
        <v>1743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4299472</v>
      </c>
      <c r="I356" s="25">
        <f t="array" ref="I356">SUM(IF("155"&amp;C356=KHC&amp;MH,SL))</f>
        <v>492</v>
      </c>
      <c r="J356" s="25">
        <f t="array" ref="J356">SUM(IF("155"&amp;C356=KHC&amp;MH,TH))</f>
        <v>4299472</v>
      </c>
      <c r="K356" s="8">
        <f t="shared" si="37"/>
        <v>0</v>
      </c>
      <c r="L356" s="8">
        <f t="shared" si="38"/>
        <v>0</v>
      </c>
      <c r="M356" s="293"/>
    </row>
    <row r="357" spans="1:13" ht="19.5" customHeight="1">
      <c r="A357" s="293" t="str">
        <f t="shared" si="39"/>
        <v>TP</v>
      </c>
      <c r="B357" s="305">
        <f t="shared" si="40"/>
        <v>13</v>
      </c>
      <c r="C357" s="192" t="s">
        <v>1190</v>
      </c>
      <c r="D357" s="304" t="s">
        <v>1743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4786020</v>
      </c>
      <c r="I357" s="25">
        <f t="array" ref="I357">SUM(IF("155"&amp;C357=KHC&amp;MH,SL))</f>
        <v>500</v>
      </c>
      <c r="J357" s="25">
        <f t="array" ref="J357">SUM(IF("155"&amp;C357=KHC&amp;MH,TH))</f>
        <v>4786020</v>
      </c>
      <c r="K357" s="8">
        <f t="shared" si="37"/>
        <v>0</v>
      </c>
      <c r="L357" s="8">
        <f t="shared" si="38"/>
        <v>0</v>
      </c>
      <c r="M357" s="293"/>
    </row>
    <row r="358" spans="1:13" ht="19.5" customHeight="1">
      <c r="A358" s="293" t="str">
        <f t="shared" ref="A358:A360" si="43">IF(B358&lt;&gt;"","TP","")</f>
        <v>TP</v>
      </c>
      <c r="B358" s="305">
        <f t="shared" ref="B358:B360" si="44">IF(C358&lt;&gt;"",B357+1,"")</f>
        <v>14</v>
      </c>
      <c r="C358" s="192" t="s">
        <v>1189</v>
      </c>
      <c r="D358" s="304" t="s">
        <v>1743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10386432</v>
      </c>
      <c r="I358" s="25">
        <f t="array" ref="I358">SUM(IF("155"&amp;C358=KHC&amp;MH,SL))</f>
        <v>982</v>
      </c>
      <c r="J358" s="25">
        <f t="array" ref="J358">SUM(IF("155"&amp;C358=KHC&amp;MH,TH))</f>
        <v>10386432</v>
      </c>
      <c r="K358" s="8">
        <f t="shared" si="37"/>
        <v>0</v>
      </c>
      <c r="L358" s="8">
        <f t="shared" si="38"/>
        <v>0</v>
      </c>
      <c r="M358" s="293"/>
    </row>
    <row r="359" spans="1:13" ht="19.5" customHeight="1">
      <c r="A359" s="293" t="str">
        <f t="shared" si="43"/>
        <v>TP</v>
      </c>
      <c r="B359" s="305">
        <f t="shared" si="44"/>
        <v>15</v>
      </c>
      <c r="C359" s="189" t="s">
        <v>1565</v>
      </c>
      <c r="D359" s="304" t="s">
        <v>1743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3384551</v>
      </c>
      <c r="I359" s="25">
        <f t="array" ref="I359">SUM(IF("155"&amp;C359=KHC&amp;MH,SL))</f>
        <v>201</v>
      </c>
      <c r="J359" s="25">
        <f t="array" ref="J359">SUM(IF("155"&amp;C359=KHC&amp;MH,TH))</f>
        <v>3384551</v>
      </c>
      <c r="K359" s="8">
        <f t="shared" si="37"/>
        <v>0</v>
      </c>
      <c r="L359" s="8">
        <f t="shared" si="38"/>
        <v>0</v>
      </c>
      <c r="M359" s="293"/>
    </row>
    <row r="360" spans="1:13" ht="19.5" customHeight="1">
      <c r="A360" s="293" t="str">
        <f t="shared" si="43"/>
        <v>TP</v>
      </c>
      <c r="B360" s="305">
        <f t="shared" si="44"/>
        <v>16</v>
      </c>
      <c r="C360" s="192" t="s">
        <v>933</v>
      </c>
      <c r="D360" s="304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1685576</v>
      </c>
      <c r="I360" s="25">
        <f t="array" ref="I360">SUM(IF("155"&amp;C360=KHC&amp;MH,SL))</f>
        <v>900</v>
      </c>
      <c r="J360" s="25">
        <f t="array" ref="J360">SUM(IF("155"&amp;C360=KHC&amp;MH,TH))</f>
        <v>1685576</v>
      </c>
      <c r="K360" s="8">
        <f t="shared" si="37"/>
        <v>0</v>
      </c>
      <c r="L360" s="8">
        <f t="shared" si="38"/>
        <v>0</v>
      </c>
      <c r="M360" s="293"/>
    </row>
    <row r="361" spans="1:13" ht="19.5" customHeight="1">
      <c r="A361" s="293" t="str">
        <f t="shared" si="35"/>
        <v>TP</v>
      </c>
      <c r="B361" s="305">
        <f t="shared" si="36"/>
        <v>17</v>
      </c>
      <c r="C361" s="192" t="s">
        <v>1485</v>
      </c>
      <c r="D361" s="304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3188552</v>
      </c>
      <c r="I361" s="25">
        <f t="array" ref="I361">SUM(IF("155"&amp;C361=KHC&amp;MH,SL))</f>
        <v>1137</v>
      </c>
      <c r="J361" s="25">
        <f t="array" ref="J361">SUM(IF("155"&amp;C361=KHC&amp;MH,TH))</f>
        <v>3188552</v>
      </c>
      <c r="K361" s="8">
        <f t="shared" si="37"/>
        <v>0</v>
      </c>
      <c r="L361" s="8">
        <f t="shared" si="38"/>
        <v>0</v>
      </c>
      <c r="M361" s="293"/>
    </row>
    <row r="362" spans="1:13" ht="19.5" customHeight="1">
      <c r="A362" s="293" t="str">
        <f t="shared" si="35"/>
        <v>TP</v>
      </c>
      <c r="B362" s="305">
        <f t="shared" si="36"/>
        <v>18</v>
      </c>
      <c r="C362" s="192" t="s">
        <v>1111</v>
      </c>
      <c r="D362" s="304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1532811</v>
      </c>
      <c r="I362" s="25">
        <f t="array" ref="I362">SUM(IF("155"&amp;C362=KHC&amp;MH,SL))</f>
        <v>830</v>
      </c>
      <c r="J362" s="25">
        <f t="array" ref="J362">SUM(IF("155"&amp;C362=KHC&amp;MH,TH))</f>
        <v>1532811</v>
      </c>
      <c r="K362" s="8">
        <f t="shared" si="37"/>
        <v>0</v>
      </c>
      <c r="L362" s="8">
        <f t="shared" si="38"/>
        <v>0</v>
      </c>
      <c r="M362" s="293"/>
    </row>
    <row r="363" spans="1:13" ht="19.5" customHeight="1">
      <c r="A363" s="293" t="str">
        <f t="shared" si="35"/>
        <v>TP</v>
      </c>
      <c r="B363" s="305">
        <f t="shared" si="36"/>
        <v>19</v>
      </c>
      <c r="C363" s="192" t="s">
        <v>1236</v>
      </c>
      <c r="D363" s="304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1761011</v>
      </c>
      <c r="I363" s="25">
        <f t="array" ref="I363">SUM(IF("155"&amp;C363=KHC&amp;MH,SL))</f>
        <v>830</v>
      </c>
      <c r="J363" s="25">
        <f t="array" ref="J363">SUM(IF("155"&amp;C363=KHC&amp;MH,TH))</f>
        <v>1761011</v>
      </c>
      <c r="K363" s="8">
        <f t="shared" si="37"/>
        <v>0</v>
      </c>
      <c r="L363" s="8">
        <f t="shared" si="38"/>
        <v>0</v>
      </c>
      <c r="M363" s="293"/>
    </row>
    <row r="364" spans="1:13" ht="19.5" customHeight="1">
      <c r="A364" s="293" t="str">
        <f t="shared" si="35"/>
        <v>TP</v>
      </c>
      <c r="B364" s="305">
        <f t="shared" si="36"/>
        <v>20</v>
      </c>
      <c r="C364" s="192" t="s">
        <v>1570</v>
      </c>
      <c r="D364" s="304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2748039</v>
      </c>
      <c r="I364" s="25">
        <f t="array" ref="I364">SUM(IF("155"&amp;C364=KHC&amp;MH,SL))</f>
        <v>503</v>
      </c>
      <c r="J364" s="25">
        <f t="array" ref="J364">SUM(IF("155"&amp;C364=KHC&amp;MH,TH))</f>
        <v>2748039</v>
      </c>
      <c r="K364" s="8">
        <f t="shared" si="37"/>
        <v>0</v>
      </c>
      <c r="L364" s="8">
        <f t="shared" si="38"/>
        <v>0</v>
      </c>
      <c r="M364" s="293"/>
    </row>
    <row r="365" spans="1:13" ht="19.5" customHeight="1">
      <c r="A365" s="293" t="str">
        <f t="shared" si="35"/>
        <v>TP</v>
      </c>
      <c r="B365" s="305">
        <f t="shared" si="36"/>
        <v>21</v>
      </c>
      <c r="C365" s="189" t="s">
        <v>973</v>
      </c>
      <c r="D365" s="304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2444691</v>
      </c>
      <c r="I365" s="25">
        <f t="array" ref="I365">SUM(IF("155"&amp;C365=KHC&amp;MH,SL))</f>
        <v>150</v>
      </c>
      <c r="J365" s="25">
        <f t="array" ref="J365">SUM(IF("155"&amp;C365=KHC&amp;MH,TH))</f>
        <v>2444691</v>
      </c>
      <c r="K365" s="8">
        <f t="shared" si="37"/>
        <v>0</v>
      </c>
      <c r="L365" s="8">
        <f t="shared" si="38"/>
        <v>0</v>
      </c>
      <c r="M365" s="293"/>
    </row>
    <row r="366" spans="1:13" ht="19.5" customHeight="1">
      <c r="A366" s="293" t="str">
        <f t="shared" si="35"/>
        <v>TP</v>
      </c>
      <c r="B366" s="305">
        <f t="shared" si="36"/>
        <v>22</v>
      </c>
      <c r="C366" s="192" t="s">
        <v>987</v>
      </c>
      <c r="D366" s="304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6554254</v>
      </c>
      <c r="I366" s="25">
        <f t="array" ref="I366">SUM(IF("155"&amp;C366=KHC&amp;MH,SL))</f>
        <v>5000</v>
      </c>
      <c r="J366" s="25">
        <f t="array" ref="J366">SUM(IF("155"&amp;C366=KHC&amp;MH,TH))</f>
        <v>6554254</v>
      </c>
      <c r="K366" s="8">
        <f t="shared" si="37"/>
        <v>0</v>
      </c>
      <c r="L366" s="8">
        <f t="shared" si="38"/>
        <v>0</v>
      </c>
      <c r="M366" s="293"/>
    </row>
    <row r="367" spans="1:13" ht="19.5" customHeight="1">
      <c r="A367" s="293" t="str">
        <f t="shared" si="35"/>
        <v>TP</v>
      </c>
      <c r="B367" s="305">
        <f t="shared" si="36"/>
        <v>23</v>
      </c>
      <c r="C367" s="192" t="s">
        <v>1222</v>
      </c>
      <c r="D367" s="304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8050585</v>
      </c>
      <c r="I367" s="25">
        <f t="array" ref="I367">SUM(IF("155"&amp;C367=KHC&amp;MH,SL))</f>
        <v>4100</v>
      </c>
      <c r="J367" s="25">
        <f t="array" ref="J367">SUM(IF("155"&amp;C367=KHC&amp;MH,TH))</f>
        <v>8050585</v>
      </c>
      <c r="K367" s="8">
        <f t="shared" si="37"/>
        <v>0</v>
      </c>
      <c r="L367" s="8">
        <f t="shared" si="38"/>
        <v>0</v>
      </c>
      <c r="M367" s="293"/>
    </row>
    <row r="368" spans="1:13" ht="19.5" customHeight="1">
      <c r="A368" s="293" t="str">
        <f t="shared" si="35"/>
        <v>TP</v>
      </c>
      <c r="B368" s="305">
        <f t="shared" si="36"/>
        <v>24</v>
      </c>
      <c r="C368" s="192" t="s">
        <v>986</v>
      </c>
      <c r="D368" s="304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655099</v>
      </c>
      <c r="I368" s="25">
        <f t="array" ref="I368">SUM(IF("155"&amp;C368=KHC&amp;MH,SL))</f>
        <v>500</v>
      </c>
      <c r="J368" s="25">
        <f t="array" ref="J368">SUM(IF("155"&amp;C368=KHC&amp;MH,TH))</f>
        <v>655099</v>
      </c>
      <c r="K368" s="8">
        <f t="shared" si="37"/>
        <v>0</v>
      </c>
      <c r="L368" s="8">
        <f t="shared" si="38"/>
        <v>0</v>
      </c>
      <c r="M368" s="293"/>
    </row>
    <row r="369" spans="1:13" ht="19.5" customHeight="1">
      <c r="A369" s="293" t="str">
        <f t="shared" si="35"/>
        <v>TP</v>
      </c>
      <c r="B369" s="305">
        <f t="shared" si="36"/>
        <v>25</v>
      </c>
      <c r="C369" s="192" t="s">
        <v>1228</v>
      </c>
      <c r="D369" s="304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1785009</v>
      </c>
      <c r="I369" s="25">
        <f t="array" ref="I369">SUM(IF("155"&amp;C369=KHC&amp;MH,SL))</f>
        <v>800</v>
      </c>
      <c r="J369" s="25">
        <f t="array" ref="J369">SUM(IF("155"&amp;C369=KHC&amp;MH,TH))</f>
        <v>1785009</v>
      </c>
      <c r="K369" s="8">
        <f t="shared" si="37"/>
        <v>0</v>
      </c>
      <c r="L369" s="8">
        <f t="shared" si="38"/>
        <v>0</v>
      </c>
      <c r="M369" s="293"/>
    </row>
    <row r="370" spans="1:13" ht="19.5" customHeight="1">
      <c r="A370" s="293" t="str">
        <f t="shared" si="35"/>
        <v>TP</v>
      </c>
      <c r="B370" s="305">
        <f t="shared" si="36"/>
        <v>26</v>
      </c>
      <c r="C370" s="192" t="s">
        <v>1560</v>
      </c>
      <c r="D370" s="304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449804</v>
      </c>
      <c r="I370" s="25">
        <f t="array" ref="I370">SUM(IF("155"&amp;C370=KHC&amp;MH,SL))</f>
        <v>200</v>
      </c>
      <c r="J370" s="25">
        <f t="array" ref="J370">SUM(IF("155"&amp;C370=KHC&amp;MH,TH))</f>
        <v>449804</v>
      </c>
      <c r="K370" s="8">
        <f t="shared" si="37"/>
        <v>0</v>
      </c>
      <c r="L370" s="8">
        <f t="shared" si="38"/>
        <v>0</v>
      </c>
      <c r="M370" s="293"/>
    </row>
    <row r="371" spans="1:13" ht="19.5" customHeight="1">
      <c r="A371" s="293" t="str">
        <f t="shared" si="35"/>
        <v>TP</v>
      </c>
      <c r="B371" s="305">
        <f t="shared" si="36"/>
        <v>27</v>
      </c>
      <c r="C371" s="189" t="s">
        <v>1217</v>
      </c>
      <c r="D371" s="304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2367241</v>
      </c>
      <c r="I371" s="25">
        <f t="array" ref="I371">SUM(IF("155"&amp;C371=KHC&amp;MH,SL))</f>
        <v>1000</v>
      </c>
      <c r="J371" s="25">
        <f t="array" ref="J371">SUM(IF("155"&amp;C371=KHC&amp;MH,TH))</f>
        <v>2367241</v>
      </c>
      <c r="K371" s="8">
        <f t="shared" si="37"/>
        <v>0</v>
      </c>
      <c r="L371" s="8">
        <f t="shared" si="38"/>
        <v>0</v>
      </c>
      <c r="M371" s="293"/>
    </row>
    <row r="372" spans="1:13" ht="19.5" customHeight="1">
      <c r="A372" s="293" t="str">
        <f t="shared" si="35"/>
        <v>TP</v>
      </c>
      <c r="B372" s="305">
        <f t="shared" si="36"/>
        <v>28</v>
      </c>
      <c r="C372" s="189" t="s">
        <v>1210</v>
      </c>
      <c r="D372" s="304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1033066</v>
      </c>
      <c r="I372" s="25">
        <f t="array" ref="I372">SUM(IF("155"&amp;C372=KHC&amp;MH,SL))</f>
        <v>400</v>
      </c>
      <c r="J372" s="25">
        <f t="array" ref="J372">SUM(IF("155"&amp;C372=KHC&amp;MH,TH))</f>
        <v>1033066</v>
      </c>
      <c r="K372" s="8">
        <f t="shared" si="37"/>
        <v>0</v>
      </c>
      <c r="L372" s="8">
        <f t="shared" si="38"/>
        <v>0</v>
      </c>
      <c r="M372" s="293"/>
    </row>
    <row r="373" spans="1:13" ht="19.5" customHeight="1">
      <c r="A373" s="293" t="str">
        <f t="shared" si="35"/>
        <v>TP</v>
      </c>
      <c r="B373" s="305">
        <f t="shared" si="36"/>
        <v>29</v>
      </c>
      <c r="C373" s="192" t="s">
        <v>1239</v>
      </c>
      <c r="D373" s="304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834624</v>
      </c>
      <c r="I373" s="25">
        <f t="array" ref="I373">SUM(IF("155"&amp;C373=KHC&amp;MH,SL))</f>
        <v>210</v>
      </c>
      <c r="J373" s="25">
        <f t="array" ref="J373">SUM(IF("155"&amp;C373=KHC&amp;MH,TH))</f>
        <v>834624</v>
      </c>
      <c r="K373" s="8">
        <f t="shared" si="37"/>
        <v>0</v>
      </c>
      <c r="L373" s="8">
        <f t="shared" si="38"/>
        <v>0</v>
      </c>
      <c r="M373" s="293"/>
    </row>
    <row r="374" spans="1:13" ht="19.5" customHeight="1">
      <c r="A374" s="293" t="str">
        <f t="shared" si="35"/>
        <v>TP</v>
      </c>
      <c r="B374" s="305">
        <f t="shared" si="36"/>
        <v>30</v>
      </c>
      <c r="C374" s="192" t="s">
        <v>1097</v>
      </c>
      <c r="D374" s="304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1717773</v>
      </c>
      <c r="I374" s="25">
        <f t="array" ref="I374">SUM(IF("155"&amp;C374=KHC&amp;MH,SL))</f>
        <v>200</v>
      </c>
      <c r="J374" s="25">
        <f t="array" ref="J374">SUM(IF("155"&amp;C374=KHC&amp;MH,TH))</f>
        <v>1717773</v>
      </c>
      <c r="K374" s="8">
        <f t="shared" si="37"/>
        <v>0</v>
      </c>
      <c r="L374" s="8">
        <f t="shared" si="38"/>
        <v>0</v>
      </c>
      <c r="M374" s="293"/>
    </row>
    <row r="375" spans="1:13" ht="19.5" customHeight="1">
      <c r="A375" s="293" t="str">
        <f t="shared" si="35"/>
        <v>TP</v>
      </c>
      <c r="B375" s="305">
        <f t="shared" si="36"/>
        <v>31</v>
      </c>
      <c r="C375" s="192" t="s">
        <v>1227</v>
      </c>
      <c r="D375" s="304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1878780</v>
      </c>
      <c r="I375" s="25">
        <f t="array" ref="I375">SUM(IF("155"&amp;C375=KHC&amp;MH,SL))</f>
        <v>208</v>
      </c>
      <c r="J375" s="25">
        <f t="array" ref="J375">SUM(IF("155"&amp;C375=KHC&amp;MH,TH))</f>
        <v>1878780</v>
      </c>
      <c r="K375" s="8">
        <f t="shared" si="37"/>
        <v>0</v>
      </c>
      <c r="L375" s="8">
        <f t="shared" si="38"/>
        <v>0</v>
      </c>
      <c r="M375" s="293"/>
    </row>
    <row r="376" spans="1:13" ht="19.5" customHeight="1">
      <c r="A376" s="293" t="str">
        <f t="shared" si="35"/>
        <v>TP</v>
      </c>
      <c r="B376" s="305">
        <f t="shared" si="36"/>
        <v>32</v>
      </c>
      <c r="C376" s="192" t="s">
        <v>1484</v>
      </c>
      <c r="D376" s="304" t="s">
        <v>544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15223021</v>
      </c>
      <c r="I376" s="25">
        <f t="array" ref="I376">SUM(IF("155"&amp;C376=KHC&amp;MH,SL))</f>
        <v>455</v>
      </c>
      <c r="J376" s="25">
        <f t="array" ref="J376">SUM(IF("155"&amp;C376=KHC&amp;MH,TH))</f>
        <v>15223021</v>
      </c>
      <c r="K376" s="8">
        <f t="shared" si="37"/>
        <v>0</v>
      </c>
      <c r="L376" s="8">
        <f t="shared" si="38"/>
        <v>0</v>
      </c>
      <c r="M376" s="293"/>
    </row>
    <row r="377" spans="1:13" ht="19.5" customHeight="1">
      <c r="A377" s="293" t="str">
        <f t="shared" si="35"/>
        <v>TP</v>
      </c>
      <c r="B377" s="305">
        <f t="shared" si="36"/>
        <v>33</v>
      </c>
      <c r="C377" s="189" t="s">
        <v>1146</v>
      </c>
      <c r="D377" s="304" t="s">
        <v>544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7938821</v>
      </c>
      <c r="I377" s="25">
        <f t="array" ref="I377">SUM(IF("155"&amp;C377=KHC&amp;MH,SL))</f>
        <v>195</v>
      </c>
      <c r="J377" s="25">
        <f t="array" ref="J377">SUM(IF("155"&amp;C377=KHC&amp;MH,TH))</f>
        <v>7938821</v>
      </c>
      <c r="K377" s="8">
        <f t="shared" si="37"/>
        <v>0</v>
      </c>
      <c r="L377" s="8">
        <f t="shared" si="38"/>
        <v>0</v>
      </c>
      <c r="M377" s="293"/>
    </row>
    <row r="378" spans="1:13" ht="19.5" customHeight="1">
      <c r="A378" s="293" t="str">
        <f t="shared" si="35"/>
        <v>TP</v>
      </c>
      <c r="B378" s="305">
        <f t="shared" si="36"/>
        <v>34</v>
      </c>
      <c r="C378" s="192" t="s">
        <v>1147</v>
      </c>
      <c r="D378" s="304" t="s">
        <v>544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3"/>
    </row>
    <row r="379" spans="1:13" ht="19.5" customHeight="1">
      <c r="A379" s="293" t="str">
        <f t="shared" si="35"/>
        <v>TP</v>
      </c>
      <c r="B379" s="305">
        <f t="shared" si="36"/>
        <v>35</v>
      </c>
      <c r="C379" s="189" t="s">
        <v>1212</v>
      </c>
      <c r="D379" s="304" t="s">
        <v>544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3337844</v>
      </c>
      <c r="I379" s="25">
        <f t="array" ref="I379">SUM(IF("155"&amp;C379=KHC&amp;MH,SL))</f>
        <v>110</v>
      </c>
      <c r="J379" s="25">
        <f t="array" ref="J379">SUM(IF("155"&amp;C379=KHC&amp;MH,TH))</f>
        <v>3337844</v>
      </c>
      <c r="K379" s="8">
        <f t="shared" si="37"/>
        <v>0</v>
      </c>
      <c r="L379" s="8">
        <f t="shared" si="38"/>
        <v>0</v>
      </c>
      <c r="M379" s="293"/>
    </row>
    <row r="380" spans="1:13" ht="19.5" customHeight="1">
      <c r="A380" s="293" t="str">
        <f t="shared" si="35"/>
        <v>TP</v>
      </c>
      <c r="B380" s="305">
        <f t="shared" si="36"/>
        <v>36</v>
      </c>
      <c r="C380" s="189" t="s">
        <v>1564</v>
      </c>
      <c r="D380" s="304" t="s">
        <v>544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3095236</v>
      </c>
      <c r="I380" s="25">
        <f t="array" ref="I380">SUM(IF("155"&amp;C380=KHC&amp;MH,SL))</f>
        <v>97</v>
      </c>
      <c r="J380" s="25">
        <f t="array" ref="J380">SUM(IF("155"&amp;C380=KHC&amp;MH,TH))</f>
        <v>3095236</v>
      </c>
      <c r="K380" s="8">
        <f t="shared" si="37"/>
        <v>0</v>
      </c>
      <c r="L380" s="8">
        <f t="shared" si="38"/>
        <v>0</v>
      </c>
      <c r="M380" s="293"/>
    </row>
    <row r="381" spans="1:13" ht="19.5" customHeight="1">
      <c r="A381" s="293" t="str">
        <f t="shared" si="35"/>
        <v>TP</v>
      </c>
      <c r="B381" s="305">
        <f t="shared" si="36"/>
        <v>37</v>
      </c>
      <c r="C381" s="879" t="s">
        <v>1198</v>
      </c>
      <c r="D381" s="304" t="s">
        <v>544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5395094</v>
      </c>
      <c r="I381" s="25">
        <f t="array" ref="I381">SUM(IF("155"&amp;C381=KHC&amp;MH,SL))</f>
        <v>100</v>
      </c>
      <c r="J381" s="25">
        <f t="array" ref="J381">SUM(IF("155"&amp;C381=KHC&amp;MH,TH))</f>
        <v>5395094</v>
      </c>
      <c r="K381" s="8">
        <f t="shared" si="37"/>
        <v>0</v>
      </c>
      <c r="L381" s="8">
        <f t="shared" si="38"/>
        <v>0</v>
      </c>
      <c r="M381" s="293"/>
    </row>
    <row r="382" spans="1:13" ht="19.5" customHeight="1">
      <c r="A382" s="293" t="str">
        <f t="shared" ref="A382:A445" si="45">IF(B382&lt;&gt;"","TP","")</f>
        <v>TP</v>
      </c>
      <c r="B382" s="305">
        <f t="shared" ref="B382:B445" si="46">IF(C382&lt;&gt;"",B381+1,"")</f>
        <v>38</v>
      </c>
      <c r="C382" s="192" t="s">
        <v>1173</v>
      </c>
      <c r="D382" s="304" t="s">
        <v>544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16193261</v>
      </c>
      <c r="I382" s="25">
        <f t="array" ref="I382">SUM(IF("155"&amp;C382=KHC&amp;MH,SL))</f>
        <v>1884</v>
      </c>
      <c r="J382" s="25">
        <f t="array" ref="J382">SUM(IF("155"&amp;C382=KHC&amp;MH,TH))</f>
        <v>16193261</v>
      </c>
      <c r="K382" s="8">
        <f t="shared" si="37"/>
        <v>0</v>
      </c>
      <c r="L382" s="8">
        <f t="shared" si="38"/>
        <v>0</v>
      </c>
      <c r="M382" s="293"/>
    </row>
    <row r="383" spans="1:13" ht="19.5" customHeight="1">
      <c r="A383" s="293" t="str">
        <f t="shared" si="45"/>
        <v>TP</v>
      </c>
      <c r="B383" s="305">
        <f t="shared" si="46"/>
        <v>39</v>
      </c>
      <c r="C383" s="192" t="s">
        <v>1166</v>
      </c>
      <c r="D383" s="304" t="s">
        <v>544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3673365</v>
      </c>
      <c r="I383" s="25">
        <f t="array" ref="I383">SUM(IF("155"&amp;C383=KHC&amp;MH,SL))</f>
        <v>946</v>
      </c>
      <c r="J383" s="25">
        <f t="array" ref="J383">SUM(IF("155"&amp;C383=KHC&amp;MH,TH))</f>
        <v>3673365</v>
      </c>
      <c r="K383" s="8">
        <f t="shared" si="37"/>
        <v>0</v>
      </c>
      <c r="L383" s="8">
        <f t="shared" si="38"/>
        <v>0</v>
      </c>
      <c r="M383" s="293"/>
    </row>
    <row r="384" spans="1:13" ht="19.5" customHeight="1">
      <c r="A384" s="293" t="str">
        <f t="shared" si="45"/>
        <v>TP</v>
      </c>
      <c r="B384" s="305">
        <f t="shared" si="46"/>
        <v>40</v>
      </c>
      <c r="C384" s="192" t="s">
        <v>1177</v>
      </c>
      <c r="D384" s="304" t="s">
        <v>544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1432784</v>
      </c>
      <c r="I384" s="25">
        <f t="array" ref="I384">SUM(IF("155"&amp;C384=KHC&amp;MH,SL))</f>
        <v>196</v>
      </c>
      <c r="J384" s="25">
        <f t="array" ref="J384">SUM(IF("155"&amp;C384=KHC&amp;MH,TH))</f>
        <v>1432784</v>
      </c>
      <c r="K384" s="8">
        <f t="shared" si="37"/>
        <v>0</v>
      </c>
      <c r="L384" s="8">
        <f t="shared" si="38"/>
        <v>0</v>
      </c>
      <c r="M384" s="293"/>
    </row>
    <row r="385" spans="1:13" ht="19.5" customHeight="1">
      <c r="A385" s="293" t="str">
        <f t="shared" si="45"/>
        <v>TP</v>
      </c>
      <c r="B385" s="305">
        <f t="shared" si="46"/>
        <v>41</v>
      </c>
      <c r="C385" s="192" t="s">
        <v>1176</v>
      </c>
      <c r="D385" s="304" t="s">
        <v>544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11341606</v>
      </c>
      <c r="I385" s="25">
        <f t="array" ref="I385">SUM(IF("155"&amp;C385=KHC&amp;MH,SL))</f>
        <v>2220</v>
      </c>
      <c r="J385" s="25">
        <f t="array" ref="J385">SUM(IF("155"&amp;C385=KHC&amp;MH,TH))</f>
        <v>11341606</v>
      </c>
      <c r="K385" s="8">
        <f t="shared" si="37"/>
        <v>0</v>
      </c>
      <c r="L385" s="8">
        <f t="shared" si="38"/>
        <v>0</v>
      </c>
      <c r="M385" s="293"/>
    </row>
    <row r="386" spans="1:13" ht="19.5" customHeight="1">
      <c r="A386" s="293" t="str">
        <f t="shared" si="45"/>
        <v>TP</v>
      </c>
      <c r="B386" s="305">
        <f t="shared" si="46"/>
        <v>42</v>
      </c>
      <c r="C386" s="192" t="s">
        <v>1167</v>
      </c>
      <c r="D386" s="304" t="s">
        <v>544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3"/>
    </row>
    <row r="387" spans="1:13" ht="19.5" customHeight="1">
      <c r="A387" s="293" t="str">
        <f t="shared" si="45"/>
        <v>TP</v>
      </c>
      <c r="B387" s="305">
        <f t="shared" si="46"/>
        <v>43</v>
      </c>
      <c r="C387" s="192" t="s">
        <v>1119</v>
      </c>
      <c r="D387" s="304" t="s">
        <v>544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1389548</v>
      </c>
      <c r="I387" s="25">
        <f t="array" ref="I387">SUM(IF("155"&amp;C387=KHC&amp;MH,SL))</f>
        <v>219</v>
      </c>
      <c r="J387" s="25">
        <f t="array" ref="J387">SUM(IF("155"&amp;C387=KHC&amp;MH,TH))</f>
        <v>1389548</v>
      </c>
      <c r="K387" s="8">
        <f t="shared" si="37"/>
        <v>0</v>
      </c>
      <c r="L387" s="8">
        <f t="shared" si="38"/>
        <v>0</v>
      </c>
      <c r="M387" s="293"/>
    </row>
    <row r="388" spans="1:13" ht="19.5" customHeight="1">
      <c r="A388" s="293" t="str">
        <f t="shared" si="45"/>
        <v>TP</v>
      </c>
      <c r="B388" s="305">
        <f t="shared" si="46"/>
        <v>44</v>
      </c>
      <c r="C388" s="192" t="s">
        <v>1499</v>
      </c>
      <c r="D388" s="304" t="s">
        <v>544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4229550</v>
      </c>
      <c r="I388" s="25">
        <f t="array" ref="I388">SUM(IF("155"&amp;C388=KHC&amp;MH,SL))</f>
        <v>713</v>
      </c>
      <c r="J388" s="25">
        <f t="array" ref="J388">SUM(IF("155"&amp;C388=KHC&amp;MH,TH))</f>
        <v>4229550</v>
      </c>
      <c r="K388" s="8">
        <f t="shared" si="37"/>
        <v>0</v>
      </c>
      <c r="L388" s="8">
        <f t="shared" si="38"/>
        <v>0</v>
      </c>
      <c r="M388" s="293"/>
    </row>
    <row r="389" spans="1:13" ht="19.5" customHeight="1">
      <c r="A389" s="293" t="str">
        <f t="shared" si="45"/>
        <v>TP</v>
      </c>
      <c r="B389" s="305">
        <f t="shared" si="46"/>
        <v>45</v>
      </c>
      <c r="C389" s="192" t="s">
        <v>1531</v>
      </c>
      <c r="D389" s="304" t="s">
        <v>544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153567</v>
      </c>
      <c r="I389" s="25">
        <f t="array" ref="I389">SUM(IF("155"&amp;C389=KHC&amp;MH,SL))</f>
        <v>9</v>
      </c>
      <c r="J389" s="25">
        <f t="array" ref="J389">SUM(IF("155"&amp;C389=KHC&amp;MH,TH))</f>
        <v>153567</v>
      </c>
      <c r="K389" s="8">
        <f t="shared" si="37"/>
        <v>0</v>
      </c>
      <c r="L389" s="8">
        <f t="shared" si="38"/>
        <v>0</v>
      </c>
      <c r="M389" s="293"/>
    </row>
    <row r="390" spans="1:13" ht="19.5" customHeight="1">
      <c r="A390" s="293" t="str">
        <f t="shared" si="45"/>
        <v>TP</v>
      </c>
      <c r="B390" s="305">
        <f t="shared" si="46"/>
        <v>46</v>
      </c>
      <c r="C390" s="192" t="s">
        <v>1178</v>
      </c>
      <c r="D390" s="304" t="s">
        <v>544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5800989</v>
      </c>
      <c r="I390" s="25">
        <f t="array" ref="I390">SUM(IF("155"&amp;C390=KHC&amp;MH,SL))</f>
        <v>829</v>
      </c>
      <c r="J390" s="25">
        <f t="array" ref="J390">SUM(IF("155"&amp;C390=KHC&amp;MH,TH))</f>
        <v>5800989</v>
      </c>
      <c r="K390" s="8">
        <f t="shared" si="37"/>
        <v>0</v>
      </c>
      <c r="L390" s="8">
        <f t="shared" si="38"/>
        <v>0</v>
      </c>
      <c r="M390" s="293"/>
    </row>
    <row r="391" spans="1:13" ht="19.5" customHeight="1">
      <c r="A391" s="293" t="str">
        <f t="shared" si="45"/>
        <v>TP</v>
      </c>
      <c r="B391" s="305">
        <f t="shared" si="46"/>
        <v>47</v>
      </c>
      <c r="C391" s="192" t="s">
        <v>1231</v>
      </c>
      <c r="D391" s="304" t="s">
        <v>544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3"/>
    </row>
    <row r="392" spans="1:13" ht="19.5" customHeight="1">
      <c r="A392" s="293" t="str">
        <f t="shared" si="45"/>
        <v>TP</v>
      </c>
      <c r="B392" s="305">
        <f t="shared" si="46"/>
        <v>48</v>
      </c>
      <c r="C392" s="192" t="s">
        <v>1229</v>
      </c>
      <c r="D392" s="304" t="s">
        <v>544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15279692</v>
      </c>
      <c r="I392" s="25">
        <f t="array" ref="I392">SUM(IF("155"&amp;C392=KHC&amp;MH,SL))</f>
        <v>3297</v>
      </c>
      <c r="J392" s="25">
        <f t="array" ref="J392">SUM(IF("155"&amp;C392=KHC&amp;MH,TH))</f>
        <v>15279692</v>
      </c>
      <c r="K392" s="8">
        <f t="shared" si="37"/>
        <v>0</v>
      </c>
      <c r="L392" s="8">
        <f t="shared" si="38"/>
        <v>0</v>
      </c>
      <c r="M392" s="293"/>
    </row>
    <row r="393" spans="1:13" ht="19.5" customHeight="1">
      <c r="A393" s="293" t="str">
        <f t="shared" si="45"/>
        <v>TP</v>
      </c>
      <c r="B393" s="305">
        <f t="shared" si="46"/>
        <v>49</v>
      </c>
      <c r="C393" s="192" t="s">
        <v>1062</v>
      </c>
      <c r="D393" s="304" t="s">
        <v>544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3"/>
    </row>
    <row r="394" spans="1:13" ht="19.5" customHeight="1">
      <c r="A394" s="293" t="str">
        <f t="shared" si="45"/>
        <v>TP</v>
      </c>
      <c r="B394" s="305">
        <f t="shared" si="46"/>
        <v>50</v>
      </c>
      <c r="C394" s="192" t="s">
        <v>1230</v>
      </c>
      <c r="D394" s="304" t="s">
        <v>544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3"/>
    </row>
    <row r="395" spans="1:13" ht="19.5" customHeight="1">
      <c r="A395" s="293" t="str">
        <f t="shared" si="45"/>
        <v>TP</v>
      </c>
      <c r="B395" s="305">
        <f t="shared" si="46"/>
        <v>51</v>
      </c>
      <c r="C395" s="192" t="s">
        <v>1148</v>
      </c>
      <c r="D395" s="304" t="s">
        <v>544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3"/>
    </row>
    <row r="396" spans="1:13" ht="19.5" customHeight="1">
      <c r="A396" s="293" t="str">
        <f t="shared" si="45"/>
        <v>TP</v>
      </c>
      <c r="B396" s="305">
        <f t="shared" si="46"/>
        <v>52</v>
      </c>
      <c r="C396" s="192" t="s">
        <v>1530</v>
      </c>
      <c r="D396" s="304" t="s">
        <v>544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11911</v>
      </c>
      <c r="I396" s="25">
        <f t="array" ref="I396">SUM(IF("155"&amp;C396=KHC&amp;MH,SL))</f>
        <v>2</v>
      </c>
      <c r="J396" s="25">
        <f t="array" ref="J396">SUM(IF("155"&amp;C396=KHC&amp;MH,TH))</f>
        <v>11911</v>
      </c>
      <c r="K396" s="8">
        <f t="shared" si="37"/>
        <v>0</v>
      </c>
      <c r="L396" s="8">
        <f t="shared" si="38"/>
        <v>0</v>
      </c>
      <c r="M396" s="293"/>
    </row>
    <row r="397" spans="1:13" ht="19.5" customHeight="1">
      <c r="A397" s="293" t="str">
        <f t="shared" si="45"/>
        <v>TP</v>
      </c>
      <c r="B397" s="305">
        <f t="shared" si="46"/>
        <v>53</v>
      </c>
      <c r="C397" s="189" t="s">
        <v>1208</v>
      </c>
      <c r="D397" s="304" t="s">
        <v>544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2864120</v>
      </c>
      <c r="I397" s="25">
        <f t="array" ref="I397">SUM(IF("155"&amp;C397=KHC&amp;MH,SL))</f>
        <v>500</v>
      </c>
      <c r="J397" s="25">
        <f t="array" ref="J397">SUM(IF("155"&amp;C397=KHC&amp;MH,TH))</f>
        <v>2864120</v>
      </c>
      <c r="K397" s="8">
        <f t="shared" si="37"/>
        <v>0</v>
      </c>
      <c r="L397" s="8">
        <f t="shared" si="38"/>
        <v>0</v>
      </c>
      <c r="M397" s="293"/>
    </row>
    <row r="398" spans="1:13" ht="19.5" customHeight="1">
      <c r="A398" s="293" t="str">
        <f t="shared" si="45"/>
        <v>TP</v>
      </c>
      <c r="B398" s="305">
        <f t="shared" si="46"/>
        <v>54</v>
      </c>
      <c r="C398" s="192" t="s">
        <v>1533</v>
      </c>
      <c r="D398" s="304" t="s">
        <v>544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986054</v>
      </c>
      <c r="I398" s="25">
        <f t="array" ref="I398">SUM(IF("155"&amp;C398=KHC&amp;MH,SL))</f>
        <v>153</v>
      </c>
      <c r="J398" s="25">
        <f t="array" ref="J398">SUM(IF("155"&amp;C398=KHC&amp;MH,TH))</f>
        <v>986054</v>
      </c>
      <c r="K398" s="8">
        <f t="shared" si="37"/>
        <v>0</v>
      </c>
      <c r="L398" s="8">
        <f t="shared" si="38"/>
        <v>0</v>
      </c>
      <c r="M398" s="293"/>
    </row>
    <row r="399" spans="1:13" ht="19.5" customHeight="1">
      <c r="A399" s="293" t="str">
        <f t="shared" si="45"/>
        <v>TP</v>
      </c>
      <c r="B399" s="305">
        <f t="shared" si="46"/>
        <v>55</v>
      </c>
      <c r="C399" s="192" t="s">
        <v>1497</v>
      </c>
      <c r="D399" s="304" t="s">
        <v>544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1796265</v>
      </c>
      <c r="I399" s="25">
        <f t="array" ref="I399">SUM(IF("155"&amp;C399=KHC&amp;MH,SL))</f>
        <v>259</v>
      </c>
      <c r="J399" s="25">
        <f t="array" ref="J399">SUM(IF("155"&amp;C399=KHC&amp;MH,TH))</f>
        <v>1796265</v>
      </c>
      <c r="K399" s="8">
        <f t="shared" si="37"/>
        <v>0</v>
      </c>
      <c r="L399" s="8">
        <f t="shared" si="38"/>
        <v>0</v>
      </c>
      <c r="M399" s="293"/>
    </row>
    <row r="400" spans="1:13" ht="19.5" customHeight="1">
      <c r="A400" s="293" t="str">
        <f t="shared" si="45"/>
        <v>TP</v>
      </c>
      <c r="B400" s="305">
        <f t="shared" si="46"/>
        <v>56</v>
      </c>
      <c r="C400" s="192" t="s">
        <v>1486</v>
      </c>
      <c r="D400" s="304" t="s">
        <v>544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1404454</v>
      </c>
      <c r="I400" s="25">
        <f t="array" ref="I400">SUM(IF("155"&amp;C400=KHC&amp;MH,SL))</f>
        <v>304</v>
      </c>
      <c r="J400" s="25">
        <f t="array" ref="J400">SUM(IF("155"&amp;C400=KHC&amp;MH,TH))</f>
        <v>1404454</v>
      </c>
      <c r="K400" s="8">
        <f t="shared" si="37"/>
        <v>0</v>
      </c>
      <c r="L400" s="8">
        <f t="shared" si="38"/>
        <v>0</v>
      </c>
      <c r="M400" s="293"/>
    </row>
    <row r="401" spans="1:13" ht="19.5" customHeight="1">
      <c r="A401" s="293" t="str">
        <f t="shared" si="45"/>
        <v>TP</v>
      </c>
      <c r="B401" s="305">
        <f t="shared" si="46"/>
        <v>57</v>
      </c>
      <c r="C401" s="192" t="s">
        <v>1113</v>
      </c>
      <c r="D401" s="304" t="s">
        <v>544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2298485</v>
      </c>
      <c r="I401" s="25">
        <f t="array" ref="I401">SUM(IF("155"&amp;C401=KHC&amp;MH,SL))</f>
        <v>492</v>
      </c>
      <c r="J401" s="25">
        <f t="array" ref="J401">SUM(IF("155"&amp;C401=KHC&amp;MH,TH))</f>
        <v>2298485</v>
      </c>
      <c r="K401" s="8">
        <f t="shared" si="37"/>
        <v>0</v>
      </c>
      <c r="L401" s="8">
        <f t="shared" si="38"/>
        <v>0</v>
      </c>
      <c r="M401" s="293"/>
    </row>
    <row r="402" spans="1:13" ht="19.5" customHeight="1">
      <c r="A402" s="293" t="str">
        <f t="shared" si="45"/>
        <v>TP</v>
      </c>
      <c r="B402" s="305">
        <f t="shared" si="46"/>
        <v>58</v>
      </c>
      <c r="C402" s="192" t="s">
        <v>1501</v>
      </c>
      <c r="D402" s="304" t="s">
        <v>544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5880506</v>
      </c>
      <c r="I402" s="25">
        <f t="array" ref="I402">SUM(IF("155"&amp;C402=KHC&amp;MH,SL))</f>
        <v>727</v>
      </c>
      <c r="J402" s="25">
        <f t="array" ref="J402">SUM(IF("155"&amp;C402=KHC&amp;MH,TH))</f>
        <v>5880506</v>
      </c>
      <c r="K402" s="8">
        <f t="shared" si="37"/>
        <v>0</v>
      </c>
      <c r="L402" s="8">
        <f t="shared" si="38"/>
        <v>0</v>
      </c>
      <c r="M402" s="293"/>
    </row>
    <row r="403" spans="1:13" ht="19.5" customHeight="1">
      <c r="A403" s="293" t="str">
        <f t="shared" si="45"/>
        <v>TP</v>
      </c>
      <c r="B403" s="305">
        <f t="shared" si="46"/>
        <v>59</v>
      </c>
      <c r="C403" s="192" t="s">
        <v>1534</v>
      </c>
      <c r="D403" s="304" t="s">
        <v>544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7468120</v>
      </c>
      <c r="I403" s="25">
        <f t="array" ref="I403">SUM(IF("155"&amp;C403=KHC&amp;MH,SL))</f>
        <v>830</v>
      </c>
      <c r="J403" s="25">
        <f t="array" ref="J403">SUM(IF("155"&amp;C403=KHC&amp;MH,TH))</f>
        <v>7468120</v>
      </c>
      <c r="K403" s="8">
        <f t="shared" si="37"/>
        <v>0</v>
      </c>
      <c r="L403" s="8">
        <f t="shared" si="38"/>
        <v>0</v>
      </c>
      <c r="M403" s="293"/>
    </row>
    <row r="404" spans="1:13" ht="19.5" customHeight="1">
      <c r="A404" s="293" t="str">
        <f t="shared" si="45"/>
        <v>TP</v>
      </c>
      <c r="B404" s="305">
        <f t="shared" si="46"/>
        <v>60</v>
      </c>
      <c r="C404" s="189" t="s">
        <v>1205</v>
      </c>
      <c r="D404" s="304" t="s">
        <v>544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2417336</v>
      </c>
      <c r="I404" s="25">
        <f t="array" ref="I404">SUM(IF("155"&amp;C404=KHC&amp;MH,SL))</f>
        <v>188</v>
      </c>
      <c r="J404" s="25">
        <f t="array" ref="J404">SUM(IF("155"&amp;C404=KHC&amp;MH,TH))</f>
        <v>2417336</v>
      </c>
      <c r="K404" s="8">
        <f t="shared" si="37"/>
        <v>0</v>
      </c>
      <c r="L404" s="8">
        <f t="shared" si="38"/>
        <v>0</v>
      </c>
      <c r="M404" s="293"/>
    </row>
    <row r="405" spans="1:13" ht="19.5" customHeight="1">
      <c r="A405" s="293" t="str">
        <f t="shared" si="45"/>
        <v>TP</v>
      </c>
      <c r="B405" s="305">
        <f t="shared" si="46"/>
        <v>61</v>
      </c>
      <c r="C405" s="192" t="s">
        <v>1138</v>
      </c>
      <c r="D405" s="304" t="s">
        <v>544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13256670</v>
      </c>
      <c r="I405" s="25">
        <f t="array" ref="I405">SUM(IF("155"&amp;C405=KHC&amp;MH,SL))</f>
        <v>2061</v>
      </c>
      <c r="J405" s="25">
        <f t="array" ref="J405">SUM(IF("155"&amp;C405=KHC&amp;MH,TH))</f>
        <v>13256670</v>
      </c>
      <c r="K405" s="8">
        <f t="shared" si="37"/>
        <v>0</v>
      </c>
      <c r="L405" s="8">
        <f t="shared" si="38"/>
        <v>0</v>
      </c>
      <c r="M405" s="293"/>
    </row>
    <row r="406" spans="1:13" ht="19.5" customHeight="1">
      <c r="A406" s="293" t="str">
        <f t="shared" si="45"/>
        <v>TP</v>
      </c>
      <c r="B406" s="305">
        <f t="shared" si="46"/>
        <v>62</v>
      </c>
      <c r="C406" s="192" t="s">
        <v>1483</v>
      </c>
      <c r="D406" s="304" t="s">
        <v>544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10293187</v>
      </c>
      <c r="I406" s="25">
        <f t="array" ref="I406">SUM(IF("155"&amp;C406=KHC&amp;MH,SL))</f>
        <v>575</v>
      </c>
      <c r="J406" s="25">
        <f t="array" ref="J406">SUM(IF("155"&amp;C406=KHC&amp;MH,TH))</f>
        <v>10293187</v>
      </c>
      <c r="K406" s="8">
        <f t="shared" si="37"/>
        <v>0</v>
      </c>
      <c r="L406" s="8">
        <f t="shared" si="38"/>
        <v>0</v>
      </c>
      <c r="M406" s="293"/>
    </row>
    <row r="407" spans="1:13" ht="19.5" customHeight="1">
      <c r="A407" s="293" t="str">
        <f t="shared" si="45"/>
        <v>TP</v>
      </c>
      <c r="B407" s="305">
        <f t="shared" si="46"/>
        <v>63</v>
      </c>
      <c r="C407" s="192" t="s">
        <v>1536</v>
      </c>
      <c r="D407" s="304" t="s">
        <v>544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9116835</v>
      </c>
      <c r="I407" s="25">
        <f t="array" ref="I407">SUM(IF("155"&amp;C407=KHC&amp;MH,SL))</f>
        <v>1053</v>
      </c>
      <c r="J407" s="25">
        <f t="array" ref="J407">SUM(IF("155"&amp;C407=KHC&amp;MH,TH))</f>
        <v>9116835</v>
      </c>
      <c r="K407" s="8">
        <f t="shared" ref="K407:K466" si="47">E407+G407-I407</f>
        <v>0</v>
      </c>
      <c r="L407" s="8">
        <f t="shared" ref="L407:L466" si="48">F407+H407-J407</f>
        <v>0</v>
      </c>
      <c r="M407" s="293"/>
    </row>
    <row r="408" spans="1:13" ht="19.5" customHeight="1">
      <c r="A408" s="293" t="str">
        <f t="shared" si="45"/>
        <v>TP</v>
      </c>
      <c r="B408" s="305">
        <f t="shared" si="46"/>
        <v>64</v>
      </c>
      <c r="C408" s="192" t="s">
        <v>1528</v>
      </c>
      <c r="D408" s="304" t="s">
        <v>544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30699</v>
      </c>
      <c r="I408" s="25">
        <f t="array" ref="I408">SUM(IF("155"&amp;C408=KHC&amp;MH,SL))</f>
        <v>3</v>
      </c>
      <c r="J408" s="25">
        <f t="array" ref="J408">SUM(IF("155"&amp;C408=KHC&amp;MH,TH))</f>
        <v>30699</v>
      </c>
      <c r="K408" s="8">
        <f t="shared" si="47"/>
        <v>0</v>
      </c>
      <c r="L408" s="8">
        <f t="shared" si="48"/>
        <v>0</v>
      </c>
      <c r="M408" s="293"/>
    </row>
    <row r="409" spans="1:13" ht="19.5" customHeight="1">
      <c r="A409" s="293" t="str">
        <f t="shared" si="45"/>
        <v>TP</v>
      </c>
      <c r="B409" s="305">
        <f t="shared" si="46"/>
        <v>65</v>
      </c>
      <c r="C409" s="189" t="s">
        <v>1069</v>
      </c>
      <c r="D409" s="304" t="s">
        <v>544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3631422</v>
      </c>
      <c r="I409" s="25">
        <f t="array" ref="I409">SUM(IF("155"&amp;C409=KHC&amp;MH,SL))</f>
        <v>583</v>
      </c>
      <c r="J409" s="25">
        <f t="array" ref="J409">SUM(IF("155"&amp;C409=KHC&amp;MH,TH))</f>
        <v>3631422</v>
      </c>
      <c r="K409" s="8">
        <f t="shared" si="47"/>
        <v>0</v>
      </c>
      <c r="L409" s="8">
        <f t="shared" si="48"/>
        <v>0</v>
      </c>
      <c r="M409" s="293"/>
    </row>
    <row r="410" spans="1:13" ht="19.5" customHeight="1">
      <c r="A410" s="293" t="str">
        <f t="shared" si="45"/>
        <v>TP</v>
      </c>
      <c r="B410" s="305">
        <f t="shared" si="46"/>
        <v>66</v>
      </c>
      <c r="C410" s="189" t="s">
        <v>1213</v>
      </c>
      <c r="D410" s="304" t="s">
        <v>544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8801798</v>
      </c>
      <c r="I410" s="25">
        <f t="array" ref="I410">SUM(IF("155"&amp;C410=KHC&amp;MH,SL))</f>
        <v>940</v>
      </c>
      <c r="J410" s="25">
        <f t="array" ref="J410">SUM(IF("155"&amp;C410=KHC&amp;MH,TH))</f>
        <v>8801798</v>
      </c>
      <c r="K410" s="8">
        <f t="shared" si="47"/>
        <v>0</v>
      </c>
      <c r="L410" s="8">
        <f t="shared" si="48"/>
        <v>0</v>
      </c>
      <c r="M410" s="293"/>
    </row>
    <row r="411" spans="1:13" ht="19.5" customHeight="1">
      <c r="A411" s="293" t="str">
        <f t="shared" si="45"/>
        <v>TP</v>
      </c>
      <c r="B411" s="305">
        <f t="shared" si="46"/>
        <v>67</v>
      </c>
      <c r="C411" s="192" t="s">
        <v>1487</v>
      </c>
      <c r="D411" s="304" t="s">
        <v>544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8876398</v>
      </c>
      <c r="I411" s="25">
        <f t="array" ref="I411">SUM(IF("155"&amp;C411=KHC&amp;MH,SL))</f>
        <v>1000</v>
      </c>
      <c r="J411" s="25">
        <f t="array" ref="J411">SUM(IF("155"&amp;C411=KHC&amp;MH,TH))</f>
        <v>8876398</v>
      </c>
      <c r="K411" s="8">
        <f t="shared" si="47"/>
        <v>0</v>
      </c>
      <c r="L411" s="8">
        <f t="shared" si="48"/>
        <v>0</v>
      </c>
      <c r="M411" s="293"/>
    </row>
    <row r="412" spans="1:13" ht="19.5" customHeight="1">
      <c r="A412" s="293" t="str">
        <f t="shared" si="45"/>
        <v>TP</v>
      </c>
      <c r="B412" s="305">
        <f t="shared" si="46"/>
        <v>68</v>
      </c>
      <c r="C412" s="192" t="s">
        <v>1120</v>
      </c>
      <c r="D412" s="304" t="s">
        <v>544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1100981</v>
      </c>
      <c r="I412" s="25">
        <f t="array" ref="I412">SUM(IF("155"&amp;C412=KHC&amp;MH,SL))</f>
        <v>126</v>
      </c>
      <c r="J412" s="25">
        <f t="array" ref="J412">SUM(IF("155"&amp;C412=KHC&amp;MH,TH))</f>
        <v>1100981</v>
      </c>
      <c r="K412" s="8">
        <f t="shared" si="47"/>
        <v>0</v>
      </c>
      <c r="L412" s="8">
        <f t="shared" si="48"/>
        <v>0</v>
      </c>
      <c r="M412" s="293"/>
    </row>
    <row r="413" spans="1:13" ht="19.5" customHeight="1">
      <c r="A413" s="293" t="str">
        <f t="shared" si="45"/>
        <v>TP</v>
      </c>
      <c r="B413" s="305">
        <f t="shared" si="46"/>
        <v>69</v>
      </c>
      <c r="C413" s="192" t="s">
        <v>1200</v>
      </c>
      <c r="D413" s="304" t="s">
        <v>544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3281324</v>
      </c>
      <c r="I413" s="25">
        <f t="array" ref="I413">SUM(IF("155"&amp;C413=KHC&amp;MH,SL))</f>
        <v>451</v>
      </c>
      <c r="J413" s="25">
        <f t="array" ref="J413">SUM(IF("155"&amp;C413=KHC&amp;MH,TH))</f>
        <v>3281324</v>
      </c>
      <c r="K413" s="8">
        <f t="shared" si="47"/>
        <v>0</v>
      </c>
      <c r="L413" s="8">
        <f t="shared" si="48"/>
        <v>0</v>
      </c>
      <c r="M413" s="293"/>
    </row>
    <row r="414" spans="1:13" ht="19.5" customHeight="1">
      <c r="A414" s="293" t="str">
        <f t="shared" si="45"/>
        <v>TP</v>
      </c>
      <c r="B414" s="305">
        <f t="shared" si="46"/>
        <v>70</v>
      </c>
      <c r="C414" s="192" t="s">
        <v>1511</v>
      </c>
      <c r="D414" s="304" t="s">
        <v>544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160042</v>
      </c>
      <c r="I414" s="25">
        <f t="array" ref="I414">SUM(IF("155"&amp;C414=KHC&amp;MH,SL))</f>
        <v>24</v>
      </c>
      <c r="J414" s="25">
        <f t="array" ref="J414">SUM(IF("155"&amp;C414=KHC&amp;MH,TH))</f>
        <v>160042</v>
      </c>
      <c r="K414" s="8">
        <f t="shared" si="47"/>
        <v>0</v>
      </c>
      <c r="L414" s="8">
        <f t="shared" si="48"/>
        <v>0</v>
      </c>
      <c r="M414" s="293"/>
    </row>
    <row r="415" spans="1:13" ht="19.5" customHeight="1">
      <c r="A415" s="293" t="str">
        <f t="shared" si="45"/>
        <v>TP</v>
      </c>
      <c r="B415" s="305">
        <f t="shared" si="46"/>
        <v>71</v>
      </c>
      <c r="C415" s="192" t="s">
        <v>1539</v>
      </c>
      <c r="D415" s="304" t="s">
        <v>544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4146668</v>
      </c>
      <c r="I415" s="25">
        <f t="array" ref="I415">SUM(IF("155"&amp;C415=KHC&amp;MH,SL))</f>
        <v>547</v>
      </c>
      <c r="J415" s="25">
        <f t="array" ref="J415">SUM(IF("155"&amp;C415=KHC&amp;MH,TH))</f>
        <v>4146668</v>
      </c>
      <c r="K415" s="8">
        <f t="shared" si="47"/>
        <v>0</v>
      </c>
      <c r="L415" s="8">
        <f t="shared" si="48"/>
        <v>0</v>
      </c>
      <c r="M415" s="293"/>
    </row>
    <row r="416" spans="1:13" ht="19.5" customHeight="1">
      <c r="A416" s="293" t="str">
        <f t="shared" si="45"/>
        <v>TP</v>
      </c>
      <c r="B416" s="305">
        <f t="shared" si="46"/>
        <v>72</v>
      </c>
      <c r="C416" s="192" t="s">
        <v>1093</v>
      </c>
      <c r="D416" s="304" t="s">
        <v>544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4467036</v>
      </c>
      <c r="I416" s="25">
        <f t="array" ref="I416">SUM(IF("155"&amp;C416=KHC&amp;MH,SL))</f>
        <v>664</v>
      </c>
      <c r="J416" s="25">
        <f t="array" ref="J416">SUM(IF("155"&amp;C416=KHC&amp;MH,TH))</f>
        <v>4467036</v>
      </c>
      <c r="K416" s="8">
        <f t="shared" si="47"/>
        <v>0</v>
      </c>
      <c r="L416" s="8">
        <f t="shared" si="48"/>
        <v>0</v>
      </c>
      <c r="M416" s="293"/>
    </row>
    <row r="417" spans="1:13" ht="19.5" customHeight="1">
      <c r="A417" s="293" t="str">
        <f t="shared" si="45"/>
        <v>TP</v>
      </c>
      <c r="B417" s="305">
        <f t="shared" si="46"/>
        <v>73</v>
      </c>
      <c r="C417" s="189" t="s">
        <v>1070</v>
      </c>
      <c r="D417" s="304" t="s">
        <v>544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11732553</v>
      </c>
      <c r="I417" s="25">
        <f t="array" ref="I417">SUM(IF("155"&amp;C417=KHC&amp;MH,SL))</f>
        <v>1791</v>
      </c>
      <c r="J417" s="25">
        <f t="array" ref="J417">SUM(IF("155"&amp;C417=KHC&amp;MH,TH))</f>
        <v>11732553</v>
      </c>
      <c r="K417" s="8">
        <f t="shared" si="47"/>
        <v>0</v>
      </c>
      <c r="L417" s="8">
        <f t="shared" si="48"/>
        <v>0</v>
      </c>
      <c r="M417" s="293"/>
    </row>
    <row r="418" spans="1:13" ht="19.5" customHeight="1">
      <c r="A418" s="293" t="str">
        <f t="shared" si="45"/>
        <v>TP</v>
      </c>
      <c r="B418" s="305">
        <f t="shared" si="46"/>
        <v>74</v>
      </c>
      <c r="C418" s="192" t="s">
        <v>1095</v>
      </c>
      <c r="D418" s="304" t="s">
        <v>544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790887</v>
      </c>
      <c r="I418" s="25">
        <f t="array" ref="I418">SUM(IF("155"&amp;C418=KHC&amp;MH,SL))</f>
        <v>112</v>
      </c>
      <c r="J418" s="25">
        <f t="array" ref="J418">SUM(IF("155"&amp;C418=KHC&amp;MH,TH))</f>
        <v>790887</v>
      </c>
      <c r="K418" s="8">
        <f t="shared" si="47"/>
        <v>0</v>
      </c>
      <c r="L418" s="8">
        <f t="shared" si="48"/>
        <v>0</v>
      </c>
      <c r="M418" s="293"/>
    </row>
    <row r="419" spans="1:13" ht="19.5" customHeight="1">
      <c r="A419" s="293" t="str">
        <f t="shared" si="45"/>
        <v>TP</v>
      </c>
      <c r="B419" s="305">
        <f t="shared" si="46"/>
        <v>75</v>
      </c>
      <c r="C419" s="192" t="s">
        <v>1141</v>
      </c>
      <c r="D419" s="304" t="s">
        <v>544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1059147</v>
      </c>
      <c r="I419" s="25">
        <f t="array" ref="I419">SUM(IF("155"&amp;C419=KHC&amp;MH,SL))</f>
        <v>100</v>
      </c>
      <c r="J419" s="25">
        <f t="array" ref="J419">SUM(IF("155"&amp;C419=KHC&amp;MH,TH))</f>
        <v>1059147</v>
      </c>
      <c r="K419" s="8">
        <f t="shared" si="47"/>
        <v>0</v>
      </c>
      <c r="L419" s="8">
        <f t="shared" si="48"/>
        <v>0</v>
      </c>
      <c r="M419" s="293"/>
    </row>
    <row r="420" spans="1:13" ht="19.5" customHeight="1">
      <c r="A420" s="293" t="str">
        <f t="shared" si="45"/>
        <v>TP</v>
      </c>
      <c r="B420" s="305">
        <f t="shared" si="46"/>
        <v>76</v>
      </c>
      <c r="C420" s="192" t="s">
        <v>1527</v>
      </c>
      <c r="D420" s="304" t="s">
        <v>544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11006414</v>
      </c>
      <c r="I420" s="25">
        <f t="array" ref="I420">SUM(IF("155"&amp;C420=KHC&amp;MH,SL))</f>
        <v>1080</v>
      </c>
      <c r="J420" s="25">
        <f t="array" ref="J420">SUM(IF("155"&amp;C420=KHC&amp;MH,TH))</f>
        <v>11006414</v>
      </c>
      <c r="K420" s="8">
        <f t="shared" si="47"/>
        <v>0</v>
      </c>
      <c r="L420" s="8">
        <f t="shared" si="48"/>
        <v>0</v>
      </c>
      <c r="M420" s="293"/>
    </row>
    <row r="421" spans="1:13" ht="19.5" customHeight="1">
      <c r="A421" s="293" t="str">
        <f t="shared" si="45"/>
        <v>TP</v>
      </c>
      <c r="B421" s="305">
        <f t="shared" si="46"/>
        <v>77</v>
      </c>
      <c r="C421" s="192" t="s">
        <v>1142</v>
      </c>
      <c r="D421" s="304" t="s">
        <v>544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6113484</v>
      </c>
      <c r="I421" s="25">
        <f t="array" ref="I421">SUM(IF("155"&amp;C421=KHC&amp;MH,SL))</f>
        <v>500</v>
      </c>
      <c r="J421" s="25">
        <f t="array" ref="J421">SUM(IF("155"&amp;C421=KHC&amp;MH,TH))</f>
        <v>6113484</v>
      </c>
      <c r="K421" s="8">
        <f t="shared" si="47"/>
        <v>0</v>
      </c>
      <c r="L421" s="8">
        <f t="shared" si="48"/>
        <v>0</v>
      </c>
      <c r="M421" s="293"/>
    </row>
    <row r="422" spans="1:13" ht="19.5" customHeight="1">
      <c r="A422" s="293" t="str">
        <f t="shared" si="45"/>
        <v>TP</v>
      </c>
      <c r="B422" s="305">
        <f t="shared" si="46"/>
        <v>78</v>
      </c>
      <c r="C422" s="192" t="s">
        <v>1488</v>
      </c>
      <c r="D422" s="304" t="s">
        <v>544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3293174</v>
      </c>
      <c r="I422" s="25">
        <f t="array" ref="I422">SUM(IF("155"&amp;C422=KHC&amp;MH,SL))</f>
        <v>500</v>
      </c>
      <c r="J422" s="25">
        <f t="array" ref="J422">SUM(IF("155"&amp;C422=KHC&amp;MH,TH))</f>
        <v>3293174</v>
      </c>
      <c r="K422" s="8">
        <f t="shared" si="47"/>
        <v>0</v>
      </c>
      <c r="L422" s="8">
        <f t="shared" si="48"/>
        <v>0</v>
      </c>
      <c r="M422" s="293"/>
    </row>
    <row r="423" spans="1:13" ht="19.5" customHeight="1">
      <c r="A423" s="293" t="str">
        <f t="shared" si="45"/>
        <v>TP</v>
      </c>
      <c r="B423" s="305">
        <f t="shared" si="46"/>
        <v>79</v>
      </c>
      <c r="C423" s="192" t="s">
        <v>1555</v>
      </c>
      <c r="D423" s="304" t="s">
        <v>544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669121</v>
      </c>
      <c r="I423" s="25">
        <f t="array" ref="I423">SUM(IF("155"&amp;C423=KHC&amp;MH,SL))</f>
        <v>80</v>
      </c>
      <c r="J423" s="25">
        <f t="array" ref="J423">SUM(IF("155"&amp;C423=KHC&amp;MH,TH))</f>
        <v>669121</v>
      </c>
      <c r="K423" s="8">
        <f t="shared" si="47"/>
        <v>0</v>
      </c>
      <c r="L423" s="8">
        <f t="shared" si="48"/>
        <v>0</v>
      </c>
      <c r="M423" s="293"/>
    </row>
    <row r="424" spans="1:13" ht="19.5" customHeight="1">
      <c r="A424" s="293" t="str">
        <f t="shared" si="45"/>
        <v>TP</v>
      </c>
      <c r="B424" s="305">
        <f t="shared" si="46"/>
        <v>80</v>
      </c>
      <c r="C424" s="192" t="s">
        <v>1150</v>
      </c>
      <c r="D424" s="304" t="s">
        <v>544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2558773</v>
      </c>
      <c r="I424" s="25">
        <f t="array" ref="I424">SUM(IF("155"&amp;C424=KHC&amp;MH,SL))</f>
        <v>409</v>
      </c>
      <c r="J424" s="25">
        <f t="array" ref="J424">SUM(IF("155"&amp;C424=KHC&amp;MH,TH))</f>
        <v>2558773</v>
      </c>
      <c r="K424" s="8">
        <f t="shared" si="47"/>
        <v>0</v>
      </c>
      <c r="L424" s="8">
        <f t="shared" si="48"/>
        <v>0</v>
      </c>
      <c r="M424" s="293"/>
    </row>
    <row r="425" spans="1:13" ht="19.5" customHeight="1">
      <c r="A425" s="293" t="str">
        <f t="shared" si="45"/>
        <v>TP</v>
      </c>
      <c r="B425" s="305">
        <f t="shared" si="46"/>
        <v>81</v>
      </c>
      <c r="C425" s="189" t="s">
        <v>1220</v>
      </c>
      <c r="D425" s="304" t="s">
        <v>544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2657385</v>
      </c>
      <c r="I425" s="25">
        <f t="array" ref="I425">SUM(IF("155"&amp;C425=KHC&amp;MH,SL))</f>
        <v>380</v>
      </c>
      <c r="J425" s="25">
        <f t="array" ref="J425">SUM(IF("155"&amp;C425=KHC&amp;MH,TH))</f>
        <v>2657385</v>
      </c>
      <c r="K425" s="8">
        <f t="shared" si="47"/>
        <v>0</v>
      </c>
      <c r="L425" s="8">
        <f t="shared" si="48"/>
        <v>0</v>
      </c>
      <c r="M425" s="293"/>
    </row>
    <row r="426" spans="1:13" ht="19.5" customHeight="1">
      <c r="A426" s="293" t="str">
        <f t="shared" si="45"/>
        <v>TP</v>
      </c>
      <c r="B426" s="305">
        <f t="shared" si="46"/>
        <v>82</v>
      </c>
      <c r="C426" s="189" t="s">
        <v>1219</v>
      </c>
      <c r="D426" s="304" t="s">
        <v>544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3609663</v>
      </c>
      <c r="I426" s="25">
        <f t="array" ref="I426">SUM(IF("155"&amp;C426=KHC&amp;MH,SL))</f>
        <v>507</v>
      </c>
      <c r="J426" s="25">
        <f t="array" ref="J426">SUM(IF("155"&amp;C426=KHC&amp;MH,TH))</f>
        <v>3609663</v>
      </c>
      <c r="K426" s="8">
        <f t="shared" si="47"/>
        <v>0</v>
      </c>
      <c r="L426" s="8">
        <f t="shared" si="48"/>
        <v>0</v>
      </c>
      <c r="M426" s="293"/>
    </row>
    <row r="427" spans="1:13" ht="19.5" customHeight="1">
      <c r="A427" s="293" t="str">
        <f t="shared" si="45"/>
        <v>TP</v>
      </c>
      <c r="B427" s="305">
        <f t="shared" si="46"/>
        <v>83</v>
      </c>
      <c r="C427" s="192" t="s">
        <v>1172</v>
      </c>
      <c r="D427" s="304" t="s">
        <v>544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5192800</v>
      </c>
      <c r="I427" s="25">
        <f t="array" ref="I427">SUM(IF("155"&amp;C427=KHC&amp;MH,SL))</f>
        <v>505</v>
      </c>
      <c r="J427" s="25">
        <f t="array" ref="J427">SUM(IF("155"&amp;C427=KHC&amp;MH,TH))</f>
        <v>5192800</v>
      </c>
      <c r="K427" s="8">
        <f t="shared" si="47"/>
        <v>0</v>
      </c>
      <c r="L427" s="8">
        <f t="shared" si="48"/>
        <v>0</v>
      </c>
      <c r="M427" s="293"/>
    </row>
    <row r="428" spans="1:13" ht="19.5" customHeight="1">
      <c r="A428" s="293" t="str">
        <f t="shared" si="45"/>
        <v>TP</v>
      </c>
      <c r="B428" s="305">
        <f t="shared" si="46"/>
        <v>84</v>
      </c>
      <c r="C428" s="192" t="s">
        <v>1545</v>
      </c>
      <c r="D428" s="304" t="s">
        <v>544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6085397</v>
      </c>
      <c r="I428" s="25">
        <f t="array" ref="I428">SUM(IF("155"&amp;C428=KHC&amp;MH,SL))</f>
        <v>524</v>
      </c>
      <c r="J428" s="25">
        <f t="array" ref="J428">SUM(IF("155"&amp;C428=KHC&amp;MH,TH))</f>
        <v>6085397</v>
      </c>
      <c r="K428" s="8">
        <f t="shared" si="47"/>
        <v>0</v>
      </c>
      <c r="L428" s="8">
        <f t="shared" si="48"/>
        <v>0</v>
      </c>
      <c r="M428" s="293"/>
    </row>
    <row r="429" spans="1:13" ht="19.5" customHeight="1">
      <c r="A429" s="293" t="str">
        <f t="shared" si="45"/>
        <v>TP</v>
      </c>
      <c r="B429" s="305">
        <f t="shared" si="46"/>
        <v>85</v>
      </c>
      <c r="C429" s="192" t="s">
        <v>1503</v>
      </c>
      <c r="D429" s="304" t="s">
        <v>544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3730390</v>
      </c>
      <c r="I429" s="25">
        <f t="array" ref="I429">SUM(IF("155"&amp;C429=KHC&amp;MH,SL))</f>
        <v>457</v>
      </c>
      <c r="J429" s="25">
        <f t="array" ref="J429">SUM(IF("155"&amp;C429=KHC&amp;MH,TH))</f>
        <v>3730390</v>
      </c>
      <c r="K429" s="8">
        <f t="shared" si="47"/>
        <v>0</v>
      </c>
      <c r="L429" s="8">
        <f t="shared" si="48"/>
        <v>0</v>
      </c>
      <c r="M429" s="293"/>
    </row>
    <row r="430" spans="1:13" ht="19.5" customHeight="1">
      <c r="A430" s="293" t="str">
        <f t="shared" si="45"/>
        <v>TP</v>
      </c>
      <c r="B430" s="305">
        <f t="shared" si="46"/>
        <v>86</v>
      </c>
      <c r="C430" s="192" t="s">
        <v>1529</v>
      </c>
      <c r="D430" s="304" t="s">
        <v>544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20466</v>
      </c>
      <c r="I430" s="25">
        <f t="array" ref="I430">SUM(IF("155"&amp;C430=KHC&amp;MH,SL))</f>
        <v>2</v>
      </c>
      <c r="J430" s="25">
        <f t="array" ref="J430">SUM(IF("155"&amp;C430=KHC&amp;MH,TH))</f>
        <v>20466</v>
      </c>
      <c r="K430" s="8">
        <f t="shared" si="47"/>
        <v>0</v>
      </c>
      <c r="L430" s="8">
        <f t="shared" si="48"/>
        <v>0</v>
      </c>
      <c r="M430" s="293"/>
    </row>
    <row r="431" spans="1:13" ht="19.5" customHeight="1">
      <c r="A431" s="293" t="str">
        <f t="shared" si="45"/>
        <v>TP</v>
      </c>
      <c r="B431" s="305">
        <f t="shared" si="46"/>
        <v>87</v>
      </c>
      <c r="C431" s="192" t="s">
        <v>1132</v>
      </c>
      <c r="D431" s="304" t="s">
        <v>544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24454928</v>
      </c>
      <c r="I431" s="25">
        <f t="array" ref="I431">SUM(IF("155"&amp;C431=KHC&amp;MH,SL))</f>
        <v>2183</v>
      </c>
      <c r="J431" s="25">
        <f t="array" ref="J431">SUM(IF("155"&amp;C431=KHC&amp;MH,TH))</f>
        <v>24454928</v>
      </c>
      <c r="K431" s="8">
        <f t="shared" si="47"/>
        <v>0</v>
      </c>
      <c r="L431" s="8">
        <f t="shared" si="48"/>
        <v>0</v>
      </c>
      <c r="M431" s="293"/>
    </row>
    <row r="432" spans="1:13" ht="19.5" customHeight="1">
      <c r="A432" s="293" t="str">
        <f t="shared" si="45"/>
        <v>TP</v>
      </c>
      <c r="B432" s="305">
        <f t="shared" si="46"/>
        <v>88</v>
      </c>
      <c r="C432" s="192" t="s">
        <v>1130</v>
      </c>
      <c r="D432" s="304" t="s">
        <v>544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346856</v>
      </c>
      <c r="I432" s="25">
        <f t="array" ref="I432">SUM(IF("155"&amp;C432=KHC&amp;MH,SL))</f>
        <v>105</v>
      </c>
      <c r="J432" s="25">
        <f t="array" ref="J432">SUM(IF("155"&amp;C432=KHC&amp;MH,TH))</f>
        <v>346856</v>
      </c>
      <c r="K432" s="8">
        <f t="shared" si="47"/>
        <v>0</v>
      </c>
      <c r="L432" s="8">
        <f t="shared" si="48"/>
        <v>0</v>
      </c>
      <c r="M432" s="293"/>
    </row>
    <row r="433" spans="1:13" ht="19.5" customHeight="1">
      <c r="A433" s="293" t="str">
        <f t="shared" si="45"/>
        <v>TP</v>
      </c>
      <c r="B433" s="305">
        <f t="shared" si="46"/>
        <v>89</v>
      </c>
      <c r="C433" s="192" t="s">
        <v>1512</v>
      </c>
      <c r="D433" s="304" t="s">
        <v>544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8455570</v>
      </c>
      <c r="I433" s="25">
        <f t="array" ref="I433">SUM(IF("155"&amp;C433=KHC&amp;MH,SL))</f>
        <v>1005</v>
      </c>
      <c r="J433" s="25">
        <f t="array" ref="J433">SUM(IF("155"&amp;C433=KHC&amp;MH,TH))</f>
        <v>8455570</v>
      </c>
      <c r="K433" s="8">
        <f t="shared" si="47"/>
        <v>0</v>
      </c>
      <c r="L433" s="8">
        <f t="shared" si="48"/>
        <v>0</v>
      </c>
      <c r="M433" s="293"/>
    </row>
    <row r="434" spans="1:13" ht="19.5" customHeight="1">
      <c r="A434" s="293" t="str">
        <f t="shared" si="45"/>
        <v>TP</v>
      </c>
      <c r="B434" s="305">
        <f t="shared" si="46"/>
        <v>90</v>
      </c>
      <c r="C434" s="192" t="s">
        <v>1515</v>
      </c>
      <c r="D434" s="304" t="s">
        <v>544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22066658</v>
      </c>
      <c r="I434" s="25">
        <f t="array" ref="I434">SUM(IF("155"&amp;C434=KHC&amp;MH,SL))</f>
        <v>2027</v>
      </c>
      <c r="J434" s="25">
        <f t="array" ref="J434">SUM(IF("155"&amp;C434=KHC&amp;MH,TH))</f>
        <v>22066658</v>
      </c>
      <c r="K434" s="8">
        <f t="shared" si="47"/>
        <v>0</v>
      </c>
      <c r="L434" s="8">
        <f t="shared" si="48"/>
        <v>0</v>
      </c>
      <c r="M434" s="293"/>
    </row>
    <row r="435" spans="1:13" ht="19.5" customHeight="1">
      <c r="A435" s="293" t="str">
        <f t="shared" si="45"/>
        <v>TP</v>
      </c>
      <c r="B435" s="305">
        <f t="shared" si="46"/>
        <v>91</v>
      </c>
      <c r="C435" s="189" t="s">
        <v>1121</v>
      </c>
      <c r="D435" s="304" t="s">
        <v>544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66647630</v>
      </c>
      <c r="I435" s="25">
        <f t="array" ref="I435">SUM(IF("155"&amp;C435=KHC&amp;MH,SL))</f>
        <v>8969</v>
      </c>
      <c r="J435" s="25">
        <f t="array" ref="J435">SUM(IF("155"&amp;C435=KHC&amp;MH,TH))</f>
        <v>66647630</v>
      </c>
      <c r="K435" s="8">
        <f t="shared" si="47"/>
        <v>0</v>
      </c>
      <c r="L435" s="8">
        <f t="shared" si="48"/>
        <v>0</v>
      </c>
      <c r="M435" s="293"/>
    </row>
    <row r="436" spans="1:13" ht="19.5" customHeight="1">
      <c r="A436" s="293" t="str">
        <f t="shared" si="45"/>
        <v>TP</v>
      </c>
      <c r="B436" s="305">
        <f t="shared" si="46"/>
        <v>92</v>
      </c>
      <c r="C436" s="189" t="s">
        <v>1218</v>
      </c>
      <c r="D436" s="304" t="s">
        <v>544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3089989</v>
      </c>
      <c r="I436" s="25">
        <f t="array" ref="I436">SUM(IF("155"&amp;C436=KHC&amp;MH,SL))</f>
        <v>412</v>
      </c>
      <c r="J436" s="25">
        <f t="array" ref="J436">SUM(IF("155"&amp;C436=KHC&amp;MH,TH))</f>
        <v>3089989</v>
      </c>
      <c r="K436" s="8">
        <f t="shared" si="47"/>
        <v>0</v>
      </c>
      <c r="L436" s="8">
        <f t="shared" si="48"/>
        <v>0</v>
      </c>
      <c r="M436" s="293"/>
    </row>
    <row r="437" spans="1:13" ht="19.5" customHeight="1">
      <c r="A437" s="293" t="str">
        <f t="shared" si="45"/>
        <v>TP</v>
      </c>
      <c r="B437" s="305">
        <f t="shared" si="46"/>
        <v>93</v>
      </c>
      <c r="C437" s="192" t="s">
        <v>1160</v>
      </c>
      <c r="D437" s="304" t="s">
        <v>544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3"/>
    </row>
    <row r="438" spans="1:13" ht="19.5" customHeight="1">
      <c r="A438" s="293" t="str">
        <f t="shared" si="45"/>
        <v>TP</v>
      </c>
      <c r="B438" s="305">
        <f t="shared" si="46"/>
        <v>94</v>
      </c>
      <c r="C438" s="192" t="s">
        <v>1135</v>
      </c>
      <c r="D438" s="304" t="s">
        <v>544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1553057</v>
      </c>
      <c r="I438" s="25">
        <f t="array" ref="I438">SUM(IF("155"&amp;C438=KHC&amp;MH,SL))</f>
        <v>293</v>
      </c>
      <c r="J438" s="25">
        <f t="array" ref="J438">SUM(IF("155"&amp;C438=KHC&amp;MH,TH))</f>
        <v>1553057</v>
      </c>
      <c r="K438" s="8">
        <f t="shared" si="47"/>
        <v>0</v>
      </c>
      <c r="L438" s="8">
        <f t="shared" si="48"/>
        <v>0</v>
      </c>
      <c r="M438" s="293"/>
    </row>
    <row r="439" spans="1:13" ht="19.5" customHeight="1">
      <c r="A439" s="293" t="str">
        <f t="shared" si="45"/>
        <v>TP</v>
      </c>
      <c r="B439" s="305">
        <f t="shared" si="46"/>
        <v>95</v>
      </c>
      <c r="C439" s="192" t="s">
        <v>1540</v>
      </c>
      <c r="D439" s="304" t="s">
        <v>544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9622377</v>
      </c>
      <c r="I439" s="25">
        <f t="array" ref="I439">SUM(IF("155"&amp;C439=KHC&amp;MH,SL))</f>
        <v>821</v>
      </c>
      <c r="J439" s="25">
        <f t="array" ref="J439">SUM(IF("155"&amp;C439=KHC&amp;MH,TH))</f>
        <v>9622377</v>
      </c>
      <c r="K439" s="8">
        <f t="shared" si="47"/>
        <v>0</v>
      </c>
      <c r="L439" s="8">
        <f t="shared" si="48"/>
        <v>0</v>
      </c>
      <c r="M439" s="293"/>
    </row>
    <row r="440" spans="1:13" ht="19.5" customHeight="1">
      <c r="A440" s="293" t="str">
        <f t="shared" si="45"/>
        <v>TP</v>
      </c>
      <c r="B440" s="305">
        <f t="shared" si="46"/>
        <v>96</v>
      </c>
      <c r="C440" s="192" t="s">
        <v>1502</v>
      </c>
      <c r="D440" s="304" t="s">
        <v>544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7105411</v>
      </c>
      <c r="I440" s="25">
        <f t="array" ref="I440">SUM(IF("155"&amp;C440=KHC&amp;MH,SL))</f>
        <v>800</v>
      </c>
      <c r="J440" s="25">
        <f t="array" ref="J440">SUM(IF("155"&amp;C440=KHC&amp;MH,TH))</f>
        <v>7105411</v>
      </c>
      <c r="K440" s="8">
        <f t="shared" si="47"/>
        <v>0</v>
      </c>
      <c r="L440" s="8">
        <f t="shared" si="48"/>
        <v>0</v>
      </c>
      <c r="M440" s="293"/>
    </row>
    <row r="441" spans="1:13" ht="19.5" customHeight="1">
      <c r="A441" s="293" t="str">
        <f t="shared" si="45"/>
        <v>TP</v>
      </c>
      <c r="B441" s="305">
        <f t="shared" si="46"/>
        <v>97</v>
      </c>
      <c r="C441" s="192" t="s">
        <v>1491</v>
      </c>
      <c r="D441" s="304" t="s">
        <v>544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6162875</v>
      </c>
      <c r="I441" s="25">
        <f t="array" ref="I441">SUM(IF("155"&amp;C441=KHC&amp;MH,SL))</f>
        <v>497</v>
      </c>
      <c r="J441" s="25">
        <f t="array" ref="J441">SUM(IF("155"&amp;C441=KHC&amp;MH,TH))</f>
        <v>6162875</v>
      </c>
      <c r="K441" s="8">
        <f t="shared" si="47"/>
        <v>0</v>
      </c>
      <c r="L441" s="8">
        <f t="shared" si="48"/>
        <v>0</v>
      </c>
      <c r="M441" s="293"/>
    </row>
    <row r="442" spans="1:13" ht="19.5" customHeight="1">
      <c r="A442" s="293" t="str">
        <f t="shared" si="45"/>
        <v>TP</v>
      </c>
      <c r="B442" s="305">
        <f t="shared" si="46"/>
        <v>98</v>
      </c>
      <c r="C442" s="192" t="s">
        <v>1537</v>
      </c>
      <c r="D442" s="304" t="s">
        <v>544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3673042</v>
      </c>
      <c r="I442" s="25">
        <f t="array" ref="I442">SUM(IF("155"&amp;C442=KHC&amp;MH,SL))</f>
        <v>471</v>
      </c>
      <c r="J442" s="25">
        <f t="array" ref="J442">SUM(IF("155"&amp;C442=KHC&amp;MH,TH))</f>
        <v>3673042</v>
      </c>
      <c r="K442" s="8">
        <f t="shared" si="47"/>
        <v>0</v>
      </c>
      <c r="L442" s="8">
        <f t="shared" si="48"/>
        <v>0</v>
      </c>
      <c r="M442" s="293"/>
    </row>
    <row r="443" spans="1:13" ht="19.5" customHeight="1">
      <c r="A443" s="293" t="str">
        <f t="shared" si="45"/>
        <v>TP</v>
      </c>
      <c r="B443" s="305">
        <f t="shared" si="46"/>
        <v>99</v>
      </c>
      <c r="C443" s="192" t="s">
        <v>1514</v>
      </c>
      <c r="D443" s="304" t="s">
        <v>544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4299427</v>
      </c>
      <c r="I443" s="25">
        <f t="array" ref="I443">SUM(IF("155"&amp;C443=KHC&amp;MH,SL))</f>
        <v>348</v>
      </c>
      <c r="J443" s="25">
        <f t="array" ref="J443">SUM(IF("155"&amp;C443=KHC&amp;MH,TH))</f>
        <v>4299427</v>
      </c>
      <c r="K443" s="8">
        <f t="shared" si="47"/>
        <v>0</v>
      </c>
      <c r="L443" s="8">
        <f t="shared" si="48"/>
        <v>0</v>
      </c>
      <c r="M443" s="293"/>
    </row>
    <row r="444" spans="1:13" ht="19.5" customHeight="1">
      <c r="A444" s="293" t="str">
        <f t="shared" si="45"/>
        <v>TP</v>
      </c>
      <c r="B444" s="305">
        <f t="shared" si="46"/>
        <v>100</v>
      </c>
      <c r="C444" s="192" t="s">
        <v>1541</v>
      </c>
      <c r="D444" s="304" t="s">
        <v>544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3050464</v>
      </c>
      <c r="I444" s="25">
        <f t="array" ref="I444">SUM(IF("155"&amp;C444=KHC&amp;MH,SL))</f>
        <v>254</v>
      </c>
      <c r="J444" s="25">
        <f t="array" ref="J444">SUM(IF("155"&amp;C444=KHC&amp;MH,TH))</f>
        <v>3050464</v>
      </c>
      <c r="K444" s="8">
        <f t="shared" si="47"/>
        <v>0</v>
      </c>
      <c r="L444" s="8">
        <f t="shared" si="48"/>
        <v>0</v>
      </c>
      <c r="M444" s="293"/>
    </row>
    <row r="445" spans="1:13" ht="19.5" customHeight="1">
      <c r="A445" s="293" t="str">
        <f t="shared" si="45"/>
        <v>TP</v>
      </c>
      <c r="B445" s="305">
        <f t="shared" si="46"/>
        <v>101</v>
      </c>
      <c r="C445" s="192" t="s">
        <v>1498</v>
      </c>
      <c r="D445" s="304" t="s">
        <v>544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5499590</v>
      </c>
      <c r="I445" s="25">
        <f t="array" ref="I445">SUM(IF("155"&amp;C445=KHC&amp;MH,SL))</f>
        <v>507</v>
      </c>
      <c r="J445" s="25">
        <f t="array" ref="J445">SUM(IF("155"&amp;C445=KHC&amp;MH,TH))</f>
        <v>5499590</v>
      </c>
      <c r="K445" s="8">
        <f t="shared" si="47"/>
        <v>0</v>
      </c>
      <c r="L445" s="8">
        <f t="shared" si="48"/>
        <v>0</v>
      </c>
      <c r="M445" s="293"/>
    </row>
    <row r="446" spans="1:13" ht="19.5" customHeight="1">
      <c r="A446" s="293" t="str">
        <f t="shared" ref="A446:A509" si="49">IF(B446&lt;&gt;"","TP","")</f>
        <v>TP</v>
      </c>
      <c r="B446" s="305">
        <f t="shared" ref="B446:B509" si="50">IF(C446&lt;&gt;"",B445+1,"")</f>
        <v>102</v>
      </c>
      <c r="C446" s="192" t="s">
        <v>1140</v>
      </c>
      <c r="D446" s="304" t="s">
        <v>544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3728940</v>
      </c>
      <c r="I446" s="25">
        <f t="array" ref="I446">SUM(IF("155"&amp;C446=KHC&amp;MH,SL))</f>
        <v>495</v>
      </c>
      <c r="J446" s="25">
        <f t="array" ref="J446">SUM(IF("155"&amp;C446=KHC&amp;MH,TH))</f>
        <v>3728940</v>
      </c>
      <c r="K446" s="8">
        <f t="shared" si="47"/>
        <v>0</v>
      </c>
      <c r="L446" s="8">
        <f t="shared" si="48"/>
        <v>0</v>
      </c>
      <c r="M446" s="293"/>
    </row>
    <row r="447" spans="1:13" ht="19.5" customHeight="1">
      <c r="A447" s="293" t="str">
        <f t="shared" si="49"/>
        <v>TP</v>
      </c>
      <c r="B447" s="305">
        <f t="shared" si="50"/>
        <v>103</v>
      </c>
      <c r="C447" s="192" t="s">
        <v>1504</v>
      </c>
      <c r="D447" s="304" t="s">
        <v>544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7503515</v>
      </c>
      <c r="I447" s="25">
        <f t="array" ref="I447">SUM(IF("155"&amp;C447=KHC&amp;MH,SL))</f>
        <v>853</v>
      </c>
      <c r="J447" s="25">
        <f t="array" ref="J447">SUM(IF("155"&amp;C447=KHC&amp;MH,TH))</f>
        <v>7503515</v>
      </c>
      <c r="K447" s="8">
        <f t="shared" si="47"/>
        <v>0</v>
      </c>
      <c r="L447" s="8">
        <f t="shared" si="48"/>
        <v>0</v>
      </c>
      <c r="M447" s="293"/>
    </row>
    <row r="448" spans="1:13" ht="19.5" customHeight="1">
      <c r="A448" s="293" t="str">
        <f t="shared" si="49"/>
        <v>TP</v>
      </c>
      <c r="B448" s="305">
        <f t="shared" si="50"/>
        <v>104</v>
      </c>
      <c r="C448" s="192" t="s">
        <v>1505</v>
      </c>
      <c r="D448" s="304" t="s">
        <v>544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11079214</v>
      </c>
      <c r="I448" s="25">
        <f t="array" ref="I448">SUM(IF("155"&amp;C448=KHC&amp;MH,SL))</f>
        <v>1127</v>
      </c>
      <c r="J448" s="25">
        <f t="array" ref="J448">SUM(IF("155"&amp;C448=KHC&amp;MH,TH))</f>
        <v>11079214</v>
      </c>
      <c r="K448" s="8">
        <f t="shared" si="47"/>
        <v>0</v>
      </c>
      <c r="L448" s="8">
        <f t="shared" si="48"/>
        <v>0</v>
      </c>
      <c r="M448" s="293"/>
    </row>
    <row r="449" spans="1:13" ht="19.5" customHeight="1">
      <c r="A449" s="293" t="str">
        <f t="shared" si="49"/>
        <v>TP</v>
      </c>
      <c r="B449" s="305">
        <f t="shared" si="50"/>
        <v>105</v>
      </c>
      <c r="C449" s="192" t="s">
        <v>1542</v>
      </c>
      <c r="D449" s="304" t="s">
        <v>544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19998796</v>
      </c>
      <c r="I449" s="25">
        <f t="array" ref="I449">SUM(IF("155"&amp;C449=KHC&amp;MH,SL))</f>
        <v>1711</v>
      </c>
      <c r="J449" s="25">
        <f t="array" ref="J449">SUM(IF("155"&amp;C449=KHC&amp;MH,TH))</f>
        <v>19998796</v>
      </c>
      <c r="K449" s="8">
        <f t="shared" si="47"/>
        <v>0</v>
      </c>
      <c r="L449" s="8">
        <f t="shared" si="48"/>
        <v>0</v>
      </c>
      <c r="M449" s="293"/>
    </row>
    <row r="450" spans="1:13" ht="19.5" customHeight="1">
      <c r="A450" s="293" t="str">
        <f t="shared" si="49"/>
        <v>TP</v>
      </c>
      <c r="B450" s="305">
        <f t="shared" si="50"/>
        <v>106</v>
      </c>
      <c r="C450" s="192" t="s">
        <v>1133</v>
      </c>
      <c r="D450" s="304" t="s">
        <v>544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6789777</v>
      </c>
      <c r="I450" s="25">
        <f t="array" ref="I450">SUM(IF("155"&amp;C450=KHC&amp;MH,SL))</f>
        <v>806</v>
      </c>
      <c r="J450" s="25">
        <f t="array" ref="J450">SUM(IF("155"&amp;C450=KHC&amp;MH,TH))</f>
        <v>6789777</v>
      </c>
      <c r="K450" s="8">
        <f t="shared" si="47"/>
        <v>0</v>
      </c>
      <c r="L450" s="8">
        <f t="shared" si="48"/>
        <v>0</v>
      </c>
      <c r="M450" s="293"/>
    </row>
    <row r="451" spans="1:13" ht="19.5" customHeight="1">
      <c r="A451" s="293" t="str">
        <f t="shared" si="49"/>
        <v>TP</v>
      </c>
      <c r="B451" s="305">
        <f t="shared" si="50"/>
        <v>107</v>
      </c>
      <c r="C451" s="192" t="s">
        <v>1494</v>
      </c>
      <c r="D451" s="304" t="s">
        <v>544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2052595</v>
      </c>
      <c r="I451" s="25">
        <f t="array" ref="I451">SUM(IF("155"&amp;C451=KHC&amp;MH,SL))</f>
        <v>301</v>
      </c>
      <c r="J451" s="25">
        <f t="array" ref="J451">SUM(IF("155"&amp;C451=KHC&amp;MH,TH))</f>
        <v>2052595</v>
      </c>
      <c r="K451" s="8">
        <f t="shared" si="47"/>
        <v>0</v>
      </c>
      <c r="L451" s="8">
        <f t="shared" si="48"/>
        <v>0</v>
      </c>
      <c r="M451" s="293"/>
    </row>
    <row r="452" spans="1:13" ht="19.5" customHeight="1">
      <c r="A452" s="293" t="str">
        <f t="shared" si="49"/>
        <v>TP</v>
      </c>
      <c r="B452" s="305">
        <f t="shared" si="50"/>
        <v>108</v>
      </c>
      <c r="C452" s="192" t="s">
        <v>1134</v>
      </c>
      <c r="D452" s="304" t="s">
        <v>544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4305577</v>
      </c>
      <c r="I452" s="25">
        <f t="array" ref="I452">SUM(IF("155"&amp;C452=KHC&amp;MH,SL))</f>
        <v>640</v>
      </c>
      <c r="J452" s="25">
        <f t="array" ref="J452">SUM(IF("155"&amp;C452=KHC&amp;MH,TH))</f>
        <v>4305577</v>
      </c>
      <c r="K452" s="8">
        <f t="shared" si="47"/>
        <v>0</v>
      </c>
      <c r="L452" s="8">
        <f t="shared" si="48"/>
        <v>0</v>
      </c>
      <c r="M452" s="293"/>
    </row>
    <row r="453" spans="1:13" ht="19.5" customHeight="1">
      <c r="A453" s="293" t="str">
        <f t="shared" si="49"/>
        <v>TP</v>
      </c>
      <c r="B453" s="305">
        <f t="shared" si="50"/>
        <v>109</v>
      </c>
      <c r="C453" s="192" t="s">
        <v>1203</v>
      </c>
      <c r="D453" s="304" t="s">
        <v>544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2954030</v>
      </c>
      <c r="I453" s="25">
        <f t="array" ref="I453">SUM(IF("155"&amp;C453=KHC&amp;MH,SL))</f>
        <v>254</v>
      </c>
      <c r="J453" s="25">
        <f t="array" ref="J453">SUM(IF("155"&amp;C453=KHC&amp;MH,TH))</f>
        <v>2954030</v>
      </c>
      <c r="K453" s="8">
        <f t="shared" si="47"/>
        <v>0</v>
      </c>
      <c r="L453" s="8">
        <f t="shared" si="48"/>
        <v>0</v>
      </c>
      <c r="M453" s="293"/>
    </row>
    <row r="454" spans="1:13" ht="19.5" customHeight="1">
      <c r="A454" s="293" t="str">
        <f t="shared" si="49"/>
        <v>TP</v>
      </c>
      <c r="B454" s="305">
        <f t="shared" si="50"/>
        <v>110</v>
      </c>
      <c r="C454" s="192" t="s">
        <v>1165</v>
      </c>
      <c r="D454" s="304" t="s">
        <v>544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3"/>
    </row>
    <row r="455" spans="1:13" ht="19.5" customHeight="1">
      <c r="A455" s="293" t="str">
        <f t="shared" si="49"/>
        <v>TP</v>
      </c>
      <c r="B455" s="305">
        <f t="shared" si="50"/>
        <v>111</v>
      </c>
      <c r="C455" s="192" t="s">
        <v>1525</v>
      </c>
      <c r="D455" s="304" t="s">
        <v>544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478597</v>
      </c>
      <c r="I455" s="25">
        <f t="array" ref="I455">SUM(IF("155"&amp;C455=KHC&amp;MH,SL))</f>
        <v>52</v>
      </c>
      <c r="J455" s="25">
        <f t="array" ref="J455">SUM(IF("155"&amp;C455=KHC&amp;MH,TH))</f>
        <v>478597</v>
      </c>
      <c r="K455" s="8">
        <f t="shared" si="47"/>
        <v>0</v>
      </c>
      <c r="L455" s="8">
        <f t="shared" si="48"/>
        <v>0</v>
      </c>
      <c r="M455" s="293"/>
    </row>
    <row r="456" spans="1:13" ht="19.5" customHeight="1">
      <c r="A456" s="293" t="str">
        <f t="shared" si="49"/>
        <v>TP</v>
      </c>
      <c r="B456" s="305">
        <f t="shared" si="50"/>
        <v>112</v>
      </c>
      <c r="C456" s="192" t="s">
        <v>1157</v>
      </c>
      <c r="D456" s="304" t="s">
        <v>544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45805497</v>
      </c>
      <c r="I456" s="25">
        <f t="array" ref="I456">SUM(IF("155"&amp;C456=KHC&amp;MH,SL))</f>
        <v>4796</v>
      </c>
      <c r="J456" s="25">
        <f t="array" ref="J456">SUM(IF("155"&amp;C456=KHC&amp;MH,TH))</f>
        <v>45805497</v>
      </c>
      <c r="K456" s="8">
        <f t="shared" si="47"/>
        <v>0</v>
      </c>
      <c r="L456" s="8">
        <f t="shared" si="48"/>
        <v>0</v>
      </c>
      <c r="M456" s="293"/>
    </row>
    <row r="457" spans="1:13" ht="19.5" customHeight="1">
      <c r="A457" s="293" t="str">
        <f t="shared" si="49"/>
        <v>TP</v>
      </c>
      <c r="B457" s="305">
        <f t="shared" si="50"/>
        <v>113</v>
      </c>
      <c r="C457" s="192" t="s">
        <v>1235</v>
      </c>
      <c r="D457" s="304" t="s">
        <v>544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10073827</v>
      </c>
      <c r="I457" s="25">
        <f t="array" ref="I457">SUM(IF("155"&amp;C457=KHC&amp;MH,SL))</f>
        <v>360</v>
      </c>
      <c r="J457" s="25">
        <f t="array" ref="J457">SUM(IF("155"&amp;C457=KHC&amp;MH,TH))</f>
        <v>10073827</v>
      </c>
      <c r="K457" s="8">
        <f t="shared" si="47"/>
        <v>0</v>
      </c>
      <c r="L457" s="8">
        <f t="shared" si="48"/>
        <v>0</v>
      </c>
      <c r="M457" s="293"/>
    </row>
    <row r="458" spans="1:13" ht="19.5" customHeight="1">
      <c r="A458" s="293" t="str">
        <f t="shared" si="49"/>
        <v>TP</v>
      </c>
      <c r="B458" s="305">
        <f t="shared" si="50"/>
        <v>114</v>
      </c>
      <c r="C458" s="192" t="s">
        <v>1238</v>
      </c>
      <c r="D458" s="304" t="s">
        <v>544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15138885</v>
      </c>
      <c r="I458" s="25">
        <f t="array" ref="I458">SUM(IF("155"&amp;C458=KHC&amp;MH,SL))</f>
        <v>2985</v>
      </c>
      <c r="J458" s="25">
        <f t="array" ref="J458">SUM(IF("155"&amp;C458=KHC&amp;MH,TH))</f>
        <v>15138885</v>
      </c>
      <c r="K458" s="8">
        <f t="shared" si="47"/>
        <v>0</v>
      </c>
      <c r="L458" s="8">
        <f t="shared" si="48"/>
        <v>0</v>
      </c>
      <c r="M458" s="293"/>
    </row>
    <row r="459" spans="1:13" ht="19.5" customHeight="1">
      <c r="A459" s="293" t="str">
        <f t="shared" si="49"/>
        <v>TP</v>
      </c>
      <c r="B459" s="305">
        <f t="shared" si="50"/>
        <v>115</v>
      </c>
      <c r="C459" s="192" t="s">
        <v>1492</v>
      </c>
      <c r="D459" s="304" t="s">
        <v>544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2239277</v>
      </c>
      <c r="I459" s="25">
        <f t="array" ref="I459">SUM(IF("155"&amp;C459=KHC&amp;MH,SL))</f>
        <v>1277</v>
      </c>
      <c r="J459" s="25">
        <f t="array" ref="J459">SUM(IF("155"&amp;C459=KHC&amp;MH,TH))</f>
        <v>2239277</v>
      </c>
      <c r="K459" s="8">
        <f t="shared" si="47"/>
        <v>0</v>
      </c>
      <c r="L459" s="8">
        <f t="shared" si="48"/>
        <v>0</v>
      </c>
      <c r="M459" s="293"/>
    </row>
    <row r="460" spans="1:13" ht="19.5" customHeight="1">
      <c r="A460" s="293" t="str">
        <f t="shared" si="49"/>
        <v>TP</v>
      </c>
      <c r="B460" s="305">
        <f t="shared" si="50"/>
        <v>116</v>
      </c>
      <c r="C460" s="192" t="s">
        <v>1493</v>
      </c>
      <c r="D460" s="304" t="s">
        <v>544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8125718</v>
      </c>
      <c r="I460" s="25">
        <f t="array" ref="I460">SUM(IF("155"&amp;C460=KHC&amp;MH,SL))</f>
        <v>1305</v>
      </c>
      <c r="J460" s="25">
        <f t="array" ref="J460">SUM(IF("155"&amp;C460=KHC&amp;MH,TH))</f>
        <v>8125718</v>
      </c>
      <c r="K460" s="8">
        <f t="shared" si="47"/>
        <v>0</v>
      </c>
      <c r="L460" s="8">
        <f t="shared" si="48"/>
        <v>0</v>
      </c>
      <c r="M460" s="293"/>
    </row>
    <row r="461" spans="1:13" ht="19.5" customHeight="1">
      <c r="A461" s="293" t="str">
        <f t="shared" si="49"/>
        <v>TP</v>
      </c>
      <c r="B461" s="305">
        <f t="shared" si="50"/>
        <v>117</v>
      </c>
      <c r="C461" s="192" t="s">
        <v>1118</v>
      </c>
      <c r="D461" s="304" t="s">
        <v>544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29824325</v>
      </c>
      <c r="I461" s="25">
        <f t="array" ref="I461">SUM(IF("155"&amp;C461=KHC&amp;MH,SL))</f>
        <v>5859</v>
      </c>
      <c r="J461" s="25">
        <f t="array" ref="J461">SUM(IF("155"&amp;C461=KHC&amp;MH,TH))</f>
        <v>29824325</v>
      </c>
      <c r="K461" s="8">
        <f t="shared" si="47"/>
        <v>0</v>
      </c>
      <c r="L461" s="8">
        <f t="shared" si="48"/>
        <v>0</v>
      </c>
      <c r="M461" s="293"/>
    </row>
    <row r="462" spans="1:13" ht="19.5" customHeight="1">
      <c r="A462" s="293" t="str">
        <f t="shared" si="49"/>
        <v>TP</v>
      </c>
      <c r="B462" s="305">
        <f t="shared" si="50"/>
        <v>118</v>
      </c>
      <c r="C462" s="192" t="s">
        <v>1137</v>
      </c>
      <c r="D462" s="304" t="s">
        <v>544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12486596</v>
      </c>
      <c r="I462" s="25">
        <f t="array" ref="I462">SUM(IF("155"&amp;C462=KHC&amp;MH,SL))</f>
        <v>2247</v>
      </c>
      <c r="J462" s="25">
        <f t="array" ref="J462">SUM(IF("155"&amp;C462=KHC&amp;MH,TH))</f>
        <v>12486596</v>
      </c>
      <c r="K462" s="8">
        <f t="shared" si="47"/>
        <v>0</v>
      </c>
      <c r="L462" s="8">
        <f t="shared" si="48"/>
        <v>0</v>
      </c>
      <c r="M462" s="293"/>
    </row>
    <row r="463" spans="1:13" ht="19.5" customHeight="1">
      <c r="A463" s="293" t="str">
        <f t="shared" si="49"/>
        <v>TP</v>
      </c>
      <c r="B463" s="305">
        <f t="shared" si="50"/>
        <v>119</v>
      </c>
      <c r="C463" s="192" t="s">
        <v>1204</v>
      </c>
      <c r="D463" s="304" t="s">
        <v>544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2110054</v>
      </c>
      <c r="I463" s="25">
        <f t="array" ref="I463">SUM(IF("155"&amp;C463=KHC&amp;MH,SL))</f>
        <v>287</v>
      </c>
      <c r="J463" s="25">
        <f t="array" ref="J463">SUM(IF("155"&amp;C463=KHC&amp;MH,TH))</f>
        <v>2110054</v>
      </c>
      <c r="K463" s="8">
        <f t="shared" si="47"/>
        <v>0</v>
      </c>
      <c r="L463" s="8">
        <f t="shared" si="48"/>
        <v>0</v>
      </c>
      <c r="M463" s="293"/>
    </row>
    <row r="464" spans="1:13" ht="19.5" customHeight="1">
      <c r="A464" s="293" t="str">
        <f t="shared" si="49"/>
        <v>TP</v>
      </c>
      <c r="B464" s="305">
        <f t="shared" si="50"/>
        <v>120</v>
      </c>
      <c r="C464" s="192" t="s">
        <v>1136</v>
      </c>
      <c r="D464" s="304" t="s">
        <v>544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8095470</v>
      </c>
      <c r="I464" s="25">
        <f t="array" ref="I464">SUM(IF("155"&amp;C464=KHC&amp;MH,SL))</f>
        <v>941</v>
      </c>
      <c r="J464" s="25">
        <f t="array" ref="J464">SUM(IF("155"&amp;C464=KHC&amp;MH,TH))</f>
        <v>8095470</v>
      </c>
      <c r="K464" s="8">
        <f t="shared" si="47"/>
        <v>0</v>
      </c>
      <c r="L464" s="8">
        <f t="shared" si="48"/>
        <v>0</v>
      </c>
      <c r="M464" s="293"/>
    </row>
    <row r="465" spans="1:13" ht="19.5" customHeight="1">
      <c r="A465" s="293" t="str">
        <f t="shared" si="49"/>
        <v>TP</v>
      </c>
      <c r="B465" s="305">
        <f t="shared" si="50"/>
        <v>121</v>
      </c>
      <c r="C465" s="192" t="s">
        <v>1144</v>
      </c>
      <c r="D465" s="304" t="s">
        <v>544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1210447</v>
      </c>
      <c r="I465" s="25">
        <f t="array" ref="I465">SUM(IF("155"&amp;C465=KHC&amp;MH,SL))</f>
        <v>100</v>
      </c>
      <c r="J465" s="25">
        <f t="array" ref="J465">SUM(IF("155"&amp;C465=KHC&amp;MH,TH))</f>
        <v>1210447</v>
      </c>
      <c r="K465" s="8">
        <f t="shared" si="47"/>
        <v>0</v>
      </c>
      <c r="L465" s="8">
        <f t="shared" si="48"/>
        <v>0</v>
      </c>
      <c r="M465" s="293"/>
    </row>
    <row r="466" spans="1:13" ht="19.5" customHeight="1">
      <c r="A466" s="293" t="str">
        <f t="shared" si="49"/>
        <v>TP</v>
      </c>
      <c r="B466" s="305">
        <f t="shared" si="50"/>
        <v>122</v>
      </c>
      <c r="C466" s="192" t="s">
        <v>1171</v>
      </c>
      <c r="D466" s="304" t="s">
        <v>544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14487880</v>
      </c>
      <c r="I466" s="25">
        <f t="array" ref="I466">SUM(IF("155"&amp;C466=KHC&amp;MH,SL))</f>
        <v>985</v>
      </c>
      <c r="J466" s="25">
        <f t="array" ref="J466">SUM(IF("155"&amp;C466=KHC&amp;MH,TH))</f>
        <v>14487880</v>
      </c>
      <c r="K466" s="8">
        <f t="shared" si="47"/>
        <v>0</v>
      </c>
      <c r="L466" s="8">
        <f t="shared" si="48"/>
        <v>0</v>
      </c>
      <c r="M466" s="293"/>
    </row>
    <row r="467" spans="1:13" ht="19.5" customHeight="1">
      <c r="A467" s="293" t="str">
        <f t="shared" si="49"/>
        <v>TP</v>
      </c>
      <c r="B467" s="305">
        <f t="shared" si="50"/>
        <v>123</v>
      </c>
      <c r="C467" s="192" t="s">
        <v>1546</v>
      </c>
      <c r="D467" s="304" t="s">
        <v>544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5436796</v>
      </c>
      <c r="I467" s="25">
        <f t="array" ref="I467">SUM(IF("155"&amp;C467=KHC&amp;MH,SL))</f>
        <v>277</v>
      </c>
      <c r="J467" s="25">
        <f t="array" ref="J467">SUM(IF("155"&amp;C467=KHC&amp;MH,TH))</f>
        <v>5436796</v>
      </c>
      <c r="K467" s="8">
        <f t="shared" ref="K467:K527" si="51">E467+G467-I467</f>
        <v>0</v>
      </c>
      <c r="L467" s="8">
        <f t="shared" ref="L467:L527" si="52">F467+H467-J467</f>
        <v>0</v>
      </c>
      <c r="M467" s="293"/>
    </row>
    <row r="468" spans="1:13" ht="19.5" customHeight="1">
      <c r="A468" s="293" t="str">
        <f t="shared" si="49"/>
        <v>TP</v>
      </c>
      <c r="B468" s="305">
        <f t="shared" si="50"/>
        <v>124</v>
      </c>
      <c r="C468" s="189" t="s">
        <v>1149</v>
      </c>
      <c r="D468" s="304" t="s">
        <v>544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5306928</v>
      </c>
      <c r="I468" s="25">
        <f t="array" ref="I468">SUM(IF("155"&amp;C468=KHC&amp;MH,SL))</f>
        <v>608</v>
      </c>
      <c r="J468" s="25">
        <f t="array" ref="J468">SUM(IF("155"&amp;C468=KHC&amp;MH,TH))</f>
        <v>5306928</v>
      </c>
      <c r="K468" s="8">
        <f t="shared" si="51"/>
        <v>0</v>
      </c>
      <c r="L468" s="8">
        <f t="shared" si="52"/>
        <v>0</v>
      </c>
      <c r="M468" s="293"/>
    </row>
    <row r="469" spans="1:13" ht="19.5" customHeight="1">
      <c r="A469" s="293" t="str">
        <f t="shared" si="49"/>
        <v>TP</v>
      </c>
      <c r="B469" s="305">
        <f t="shared" si="50"/>
        <v>125</v>
      </c>
      <c r="C469" s="192" t="s">
        <v>1500</v>
      </c>
      <c r="D469" s="304" t="s">
        <v>544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292297</v>
      </c>
      <c r="I469" s="25">
        <f t="array" ref="I469">SUM(IF("155"&amp;C469=KHC&amp;MH,SL))</f>
        <v>62</v>
      </c>
      <c r="J469" s="25">
        <f t="array" ref="J469">SUM(IF("155"&amp;C469=KHC&amp;MH,TH))</f>
        <v>292297</v>
      </c>
      <c r="K469" s="8">
        <f t="shared" si="51"/>
        <v>0</v>
      </c>
      <c r="L469" s="8">
        <f t="shared" si="52"/>
        <v>0</v>
      </c>
      <c r="M469" s="293"/>
    </row>
    <row r="470" spans="1:13" ht="19.5" customHeight="1">
      <c r="A470" s="293" t="str">
        <f t="shared" si="49"/>
        <v>TP</v>
      </c>
      <c r="B470" s="305">
        <f t="shared" si="50"/>
        <v>126</v>
      </c>
      <c r="C470" s="192" t="s">
        <v>1508</v>
      </c>
      <c r="D470" s="304" t="s">
        <v>544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155710</v>
      </c>
      <c r="I470" s="25">
        <f t="array" ref="I470">SUM(IF("155"&amp;C470=KHC&amp;MH,SL))</f>
        <v>15</v>
      </c>
      <c r="J470" s="25">
        <f t="array" ref="J470">SUM(IF("155"&amp;C470=KHC&amp;MH,TH))</f>
        <v>155710</v>
      </c>
      <c r="K470" s="8">
        <f t="shared" si="51"/>
        <v>0</v>
      </c>
      <c r="L470" s="8">
        <f t="shared" si="52"/>
        <v>0</v>
      </c>
      <c r="M470" s="293"/>
    </row>
    <row r="471" spans="1:13" ht="19.5" customHeight="1">
      <c r="A471" s="293" t="str">
        <f t="shared" si="49"/>
        <v>TP</v>
      </c>
      <c r="B471" s="305">
        <f t="shared" si="50"/>
        <v>127</v>
      </c>
      <c r="C471" s="192" t="s">
        <v>1143</v>
      </c>
      <c r="D471" s="304" t="s">
        <v>544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31988486</v>
      </c>
      <c r="I471" s="25">
        <f t="array" ref="I471">SUM(IF("155"&amp;C471=KHC&amp;MH,SL))</f>
        <v>2991</v>
      </c>
      <c r="J471" s="25">
        <f t="array" ref="J471">SUM(IF("155"&amp;C471=KHC&amp;MH,TH))</f>
        <v>31988486</v>
      </c>
      <c r="K471" s="8">
        <f t="shared" si="51"/>
        <v>0</v>
      </c>
      <c r="L471" s="8">
        <f t="shared" si="52"/>
        <v>0</v>
      </c>
      <c r="M471" s="293"/>
    </row>
    <row r="472" spans="1:13" ht="19.5" customHeight="1">
      <c r="A472" s="293" t="str">
        <f t="shared" si="49"/>
        <v>TP</v>
      </c>
      <c r="B472" s="305">
        <f t="shared" si="50"/>
        <v>128</v>
      </c>
      <c r="C472" s="192" t="s">
        <v>1117</v>
      </c>
      <c r="D472" s="304" t="s">
        <v>544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13800093</v>
      </c>
      <c r="I472" s="25">
        <f t="array" ref="I472">SUM(IF("155"&amp;C472=KHC&amp;MH,SL))</f>
        <v>1502</v>
      </c>
      <c r="J472" s="25">
        <f t="array" ref="J472">SUM(IF("155"&amp;C472=KHC&amp;MH,TH))</f>
        <v>13800093</v>
      </c>
      <c r="K472" s="8">
        <f t="shared" si="51"/>
        <v>0</v>
      </c>
      <c r="L472" s="8">
        <f t="shared" si="52"/>
        <v>0</v>
      </c>
      <c r="M472" s="293"/>
    </row>
    <row r="473" spans="1:13" ht="19.5" customHeight="1">
      <c r="A473" s="293" t="str">
        <f t="shared" si="49"/>
        <v>TP</v>
      </c>
      <c r="B473" s="305">
        <f t="shared" si="50"/>
        <v>129</v>
      </c>
      <c r="C473" s="189" t="s">
        <v>1145</v>
      </c>
      <c r="D473" s="304" t="s">
        <v>544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25473040</v>
      </c>
      <c r="I473" s="25">
        <f t="array" ref="I473">SUM(IF("155"&amp;C473=KHC&amp;MH,SL))</f>
        <v>2418</v>
      </c>
      <c r="J473" s="25">
        <f t="array" ref="J473">SUM(IF("155"&amp;C473=KHC&amp;MH,TH))</f>
        <v>25473040</v>
      </c>
      <c r="K473" s="8">
        <f t="shared" si="51"/>
        <v>0</v>
      </c>
      <c r="L473" s="8">
        <f t="shared" si="52"/>
        <v>0</v>
      </c>
      <c r="M473" s="293"/>
    </row>
    <row r="474" spans="1:13" ht="19.5" customHeight="1">
      <c r="A474" s="293" t="str">
        <f t="shared" si="49"/>
        <v>TP</v>
      </c>
      <c r="B474" s="305">
        <f t="shared" si="50"/>
        <v>130</v>
      </c>
      <c r="C474" s="192" t="s">
        <v>1506</v>
      </c>
      <c r="D474" s="304" t="s">
        <v>544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12113063</v>
      </c>
      <c r="I474" s="25">
        <f t="array" ref="I474">SUM(IF("155"&amp;C474=KHC&amp;MH,SL))</f>
        <v>1009</v>
      </c>
      <c r="J474" s="25">
        <f t="array" ref="J474">SUM(IF("155"&amp;C474=KHC&amp;MH,TH))</f>
        <v>12113063</v>
      </c>
      <c r="K474" s="8">
        <f t="shared" si="51"/>
        <v>0</v>
      </c>
      <c r="L474" s="8">
        <f t="shared" si="52"/>
        <v>0</v>
      </c>
      <c r="M474" s="293"/>
    </row>
    <row r="475" spans="1:13" ht="19.5" customHeight="1">
      <c r="A475" s="293" t="str">
        <f t="shared" si="49"/>
        <v>TP</v>
      </c>
      <c r="B475" s="305">
        <f t="shared" si="50"/>
        <v>131</v>
      </c>
      <c r="C475" s="192" t="s">
        <v>1535</v>
      </c>
      <c r="D475" s="304" t="s">
        <v>544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3923391</v>
      </c>
      <c r="I475" s="25">
        <f t="array" ref="I475">SUM(IF("155"&amp;C475=KHC&amp;MH,SL))</f>
        <v>251</v>
      </c>
      <c r="J475" s="25">
        <f t="array" ref="J475">SUM(IF("155"&amp;C475=KHC&amp;MH,TH))</f>
        <v>3923391</v>
      </c>
      <c r="K475" s="8">
        <f t="shared" si="51"/>
        <v>0</v>
      </c>
      <c r="L475" s="8">
        <f t="shared" si="52"/>
        <v>0</v>
      </c>
      <c r="M475" s="293"/>
    </row>
    <row r="476" spans="1:13" ht="19.5" customHeight="1">
      <c r="A476" s="293" t="str">
        <f t="shared" si="49"/>
        <v>TP</v>
      </c>
      <c r="B476" s="305">
        <f t="shared" si="50"/>
        <v>132</v>
      </c>
      <c r="C476" s="192" t="s">
        <v>1557</v>
      </c>
      <c r="D476" s="304" t="s">
        <v>544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17123690</v>
      </c>
      <c r="I476" s="25">
        <f t="array" ref="I476">SUM(IF("155"&amp;C476=KHC&amp;MH,SL))</f>
        <v>990</v>
      </c>
      <c r="J476" s="25">
        <f t="array" ref="J476">SUM(IF("155"&amp;C476=KHC&amp;MH,TH))</f>
        <v>17123690</v>
      </c>
      <c r="K476" s="8">
        <f t="shared" si="51"/>
        <v>0</v>
      </c>
      <c r="L476" s="8">
        <f t="shared" si="52"/>
        <v>0</v>
      </c>
      <c r="M476" s="293"/>
    </row>
    <row r="477" spans="1:13" ht="19.5" customHeight="1">
      <c r="A477" s="293" t="str">
        <f t="shared" si="49"/>
        <v>TP</v>
      </c>
      <c r="B477" s="305">
        <f t="shared" si="50"/>
        <v>133</v>
      </c>
      <c r="C477" s="192" t="s">
        <v>1496</v>
      </c>
      <c r="D477" s="304" t="s">
        <v>544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29740250</v>
      </c>
      <c r="I477" s="25">
        <f t="array" ref="I477">SUM(IF("155"&amp;C477=KHC&amp;MH,SL))</f>
        <v>2289</v>
      </c>
      <c r="J477" s="25">
        <f t="array" ref="J477">SUM(IF("155"&amp;C477=KHC&amp;MH,TH))</f>
        <v>29740250</v>
      </c>
      <c r="K477" s="8">
        <f t="shared" si="51"/>
        <v>0</v>
      </c>
      <c r="L477" s="8">
        <f t="shared" si="52"/>
        <v>0</v>
      </c>
      <c r="M477" s="293"/>
    </row>
    <row r="478" spans="1:13" ht="19.5" customHeight="1">
      <c r="A478" s="293" t="str">
        <f t="shared" si="49"/>
        <v>TP</v>
      </c>
      <c r="B478" s="305">
        <f t="shared" si="50"/>
        <v>134</v>
      </c>
      <c r="C478" s="192" t="s">
        <v>1510</v>
      </c>
      <c r="D478" s="304" t="s">
        <v>544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7384963</v>
      </c>
      <c r="I478" s="25">
        <f t="array" ref="I478">SUM(IF("155"&amp;C478=KHC&amp;MH,SL))</f>
        <v>503</v>
      </c>
      <c r="J478" s="25">
        <f t="array" ref="J478">SUM(IF("155"&amp;C478=KHC&amp;MH,TH))</f>
        <v>7384963</v>
      </c>
      <c r="K478" s="8">
        <f t="shared" si="51"/>
        <v>0</v>
      </c>
      <c r="L478" s="8">
        <f t="shared" si="52"/>
        <v>0</v>
      </c>
      <c r="M478" s="293"/>
    </row>
    <row r="479" spans="1:13" ht="19.5" customHeight="1">
      <c r="A479" s="293" t="str">
        <f t="shared" si="49"/>
        <v>TP</v>
      </c>
      <c r="B479" s="305">
        <f t="shared" si="50"/>
        <v>135</v>
      </c>
      <c r="C479" s="192" t="s">
        <v>1526</v>
      </c>
      <c r="D479" s="304" t="s">
        <v>544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16442953</v>
      </c>
      <c r="I479" s="25">
        <f t="array" ref="I479">SUM(IF("155"&amp;C479=KHC&amp;MH,SL))</f>
        <v>1179</v>
      </c>
      <c r="J479" s="25">
        <f t="array" ref="J479">SUM(IF("155"&amp;C479=KHC&amp;MH,TH))</f>
        <v>16442953</v>
      </c>
      <c r="K479" s="8">
        <f t="shared" si="51"/>
        <v>0</v>
      </c>
      <c r="L479" s="8">
        <f t="shared" si="52"/>
        <v>0</v>
      </c>
      <c r="M479" s="293"/>
    </row>
    <row r="480" spans="1:13" ht="19.5" customHeight="1">
      <c r="A480" s="293" t="str">
        <f t="shared" si="49"/>
        <v>TP</v>
      </c>
      <c r="B480" s="305">
        <f t="shared" si="50"/>
        <v>136</v>
      </c>
      <c r="C480" s="192" t="s">
        <v>1522</v>
      </c>
      <c r="D480" s="304" t="s">
        <v>544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11907191</v>
      </c>
      <c r="I480" s="25">
        <f t="array" ref="I480">SUM(IF("155"&amp;C480=KHC&amp;MH,SL))</f>
        <v>696</v>
      </c>
      <c r="J480" s="25">
        <f t="array" ref="J480">SUM(IF("155"&amp;C480=KHC&amp;MH,TH))</f>
        <v>11907191</v>
      </c>
      <c r="K480" s="8">
        <f t="shared" si="51"/>
        <v>0</v>
      </c>
      <c r="L480" s="8">
        <f t="shared" si="52"/>
        <v>0</v>
      </c>
      <c r="M480" s="293"/>
    </row>
    <row r="481" spans="1:13" ht="19.5" customHeight="1">
      <c r="A481" s="293" t="str">
        <f t="shared" si="49"/>
        <v>TP</v>
      </c>
      <c r="B481" s="305">
        <f t="shared" si="50"/>
        <v>137</v>
      </c>
      <c r="C481" s="192" t="s">
        <v>1519</v>
      </c>
      <c r="D481" s="304" t="s">
        <v>544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12875113</v>
      </c>
      <c r="I481" s="25">
        <f t="array" ref="I481">SUM(IF("155"&amp;C481=KHC&amp;MH,SL))</f>
        <v>793</v>
      </c>
      <c r="J481" s="25">
        <f t="array" ref="J481">SUM(IF("155"&amp;C481=KHC&amp;MH,TH))</f>
        <v>12875113</v>
      </c>
      <c r="K481" s="8">
        <f t="shared" si="51"/>
        <v>0</v>
      </c>
      <c r="L481" s="8">
        <f t="shared" si="52"/>
        <v>0</v>
      </c>
      <c r="M481" s="293"/>
    </row>
    <row r="482" spans="1:13" ht="19.5" customHeight="1">
      <c r="A482" s="293" t="str">
        <f t="shared" si="49"/>
        <v>TP</v>
      </c>
      <c r="B482" s="305">
        <f t="shared" si="50"/>
        <v>138</v>
      </c>
      <c r="C482" s="192" t="s">
        <v>1538</v>
      </c>
      <c r="D482" s="304" t="s">
        <v>544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12215116</v>
      </c>
      <c r="I482" s="25">
        <f t="array" ref="I482">SUM(IF("155"&amp;C482=KHC&amp;MH,SL))</f>
        <v>658</v>
      </c>
      <c r="J482" s="25">
        <f t="array" ref="J482">SUM(IF("155"&amp;C482=KHC&amp;MH,TH))</f>
        <v>12215116</v>
      </c>
      <c r="K482" s="8">
        <f t="shared" si="51"/>
        <v>0</v>
      </c>
      <c r="L482" s="8">
        <f t="shared" si="52"/>
        <v>0</v>
      </c>
      <c r="M482" s="293"/>
    </row>
    <row r="483" spans="1:13" ht="19.5" customHeight="1">
      <c r="A483" s="293" t="str">
        <f t="shared" si="49"/>
        <v>TP</v>
      </c>
      <c r="B483" s="305">
        <f t="shared" si="50"/>
        <v>139</v>
      </c>
      <c r="C483" s="192" t="s">
        <v>1543</v>
      </c>
      <c r="D483" s="304" t="s">
        <v>544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21388918</v>
      </c>
      <c r="I483" s="25">
        <f t="array" ref="I483">SUM(IF("155"&amp;C483=KHC&amp;MH,SL))</f>
        <v>1711</v>
      </c>
      <c r="J483" s="25">
        <f t="array" ref="J483">SUM(IF("155"&amp;C483=KHC&amp;MH,TH))</f>
        <v>21388918</v>
      </c>
      <c r="K483" s="8">
        <f t="shared" si="51"/>
        <v>0</v>
      </c>
      <c r="L483" s="8">
        <f t="shared" si="52"/>
        <v>0</v>
      </c>
      <c r="M483" s="293"/>
    </row>
    <row r="484" spans="1:13" ht="19.5" customHeight="1">
      <c r="A484" s="293" t="str">
        <f t="shared" si="49"/>
        <v>TP</v>
      </c>
      <c r="B484" s="305">
        <f t="shared" si="50"/>
        <v>140</v>
      </c>
      <c r="C484" s="879" t="s">
        <v>1197</v>
      </c>
      <c r="D484" s="304" t="s">
        <v>544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2294636</v>
      </c>
      <c r="I484" s="25">
        <f t="array" ref="I484">SUM(IF("155"&amp;C484=KHC&amp;MH,SL))</f>
        <v>97</v>
      </c>
      <c r="J484" s="25">
        <f t="array" ref="J484">SUM(IF("155"&amp;C484=KHC&amp;MH,TH))</f>
        <v>2294636</v>
      </c>
      <c r="K484" s="8">
        <f t="shared" si="51"/>
        <v>0</v>
      </c>
      <c r="L484" s="8">
        <f t="shared" si="52"/>
        <v>0</v>
      </c>
      <c r="M484" s="293"/>
    </row>
    <row r="485" spans="1:13" ht="19.5" customHeight="1">
      <c r="A485" s="293" t="str">
        <f t="shared" si="49"/>
        <v>TP</v>
      </c>
      <c r="B485" s="305">
        <f t="shared" si="50"/>
        <v>141</v>
      </c>
      <c r="C485" s="192" t="s">
        <v>1131</v>
      </c>
      <c r="D485" s="304" t="s">
        <v>544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15125897</v>
      </c>
      <c r="I485" s="25">
        <f t="array" ref="I485">SUM(IF("155"&amp;C485=KHC&amp;MH,SL))</f>
        <v>1307</v>
      </c>
      <c r="J485" s="25">
        <f t="array" ref="J485">SUM(IF("155"&amp;C485=KHC&amp;MH,TH))</f>
        <v>15125897</v>
      </c>
      <c r="K485" s="8">
        <f t="shared" si="51"/>
        <v>0</v>
      </c>
      <c r="L485" s="8">
        <f t="shared" si="52"/>
        <v>0</v>
      </c>
      <c r="M485" s="293"/>
    </row>
    <row r="486" spans="1:13" ht="19.5" customHeight="1">
      <c r="A486" s="293" t="str">
        <f t="shared" si="49"/>
        <v>TP</v>
      </c>
      <c r="B486" s="305">
        <f t="shared" si="50"/>
        <v>142</v>
      </c>
      <c r="C486" s="192" t="s">
        <v>1489</v>
      </c>
      <c r="D486" s="304" t="s">
        <v>544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6097429</v>
      </c>
      <c r="I486" s="25">
        <f t="array" ref="I486">SUM(IF("155"&amp;C486=KHC&amp;MH,SL))</f>
        <v>490</v>
      </c>
      <c r="J486" s="25">
        <f t="array" ref="J486">SUM(IF("155"&amp;C486=KHC&amp;MH,TH))</f>
        <v>6097429</v>
      </c>
      <c r="K486" s="8">
        <f t="shared" si="51"/>
        <v>0</v>
      </c>
      <c r="L486" s="8">
        <f t="shared" si="52"/>
        <v>0</v>
      </c>
      <c r="M486" s="293"/>
    </row>
    <row r="487" spans="1:13" ht="19.5" customHeight="1">
      <c r="A487" s="293" t="str">
        <f t="shared" si="49"/>
        <v>TP</v>
      </c>
      <c r="B487" s="305">
        <f t="shared" si="50"/>
        <v>143</v>
      </c>
      <c r="C487" s="192" t="s">
        <v>1479</v>
      </c>
      <c r="D487" s="304" t="s">
        <v>544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14738200</v>
      </c>
      <c r="I487" s="25">
        <f t="array" ref="I487">SUM(IF("155"&amp;C487=KHC&amp;MH,SL))</f>
        <v>620</v>
      </c>
      <c r="J487" s="25">
        <f t="array" ref="J487">SUM(IF("155"&amp;C487=KHC&amp;MH,TH))</f>
        <v>14738200</v>
      </c>
      <c r="K487" s="8">
        <f t="shared" si="51"/>
        <v>0</v>
      </c>
      <c r="L487" s="8">
        <f t="shared" si="52"/>
        <v>0</v>
      </c>
      <c r="M487" s="293"/>
    </row>
    <row r="488" spans="1:13" ht="19.5" customHeight="1">
      <c r="A488" s="293" t="str">
        <f t="shared" si="49"/>
        <v>TP</v>
      </c>
      <c r="B488" s="305">
        <f t="shared" si="50"/>
        <v>144</v>
      </c>
      <c r="C488" s="192" t="s">
        <v>1513</v>
      </c>
      <c r="D488" s="304" t="s">
        <v>544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17123223</v>
      </c>
      <c r="I488" s="25">
        <f t="array" ref="I488">SUM(IF("155"&amp;C488=KHC&amp;MH,SL))</f>
        <v>1101</v>
      </c>
      <c r="J488" s="25">
        <f t="array" ref="J488">SUM(IF("155"&amp;C488=KHC&amp;MH,TH))</f>
        <v>17123223</v>
      </c>
      <c r="K488" s="8">
        <f t="shared" si="51"/>
        <v>0</v>
      </c>
      <c r="L488" s="8">
        <f t="shared" si="52"/>
        <v>0</v>
      </c>
      <c r="M488" s="293"/>
    </row>
    <row r="489" spans="1:13" ht="19.5" customHeight="1">
      <c r="A489" s="293" t="str">
        <f t="shared" si="49"/>
        <v>TP</v>
      </c>
      <c r="B489" s="305">
        <f t="shared" si="50"/>
        <v>145</v>
      </c>
      <c r="C489" s="192" t="s">
        <v>1518</v>
      </c>
      <c r="D489" s="304" t="s">
        <v>544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4118475</v>
      </c>
      <c r="I489" s="25">
        <f t="array" ref="I489">SUM(IF("155"&amp;C489=KHC&amp;MH,SL))</f>
        <v>270</v>
      </c>
      <c r="J489" s="25">
        <f t="array" ref="J489">SUM(IF("155"&amp;C489=KHC&amp;MH,TH))</f>
        <v>4118475</v>
      </c>
      <c r="K489" s="8">
        <f t="shared" si="51"/>
        <v>0</v>
      </c>
      <c r="L489" s="8">
        <f t="shared" si="52"/>
        <v>0</v>
      </c>
      <c r="M489" s="293"/>
    </row>
    <row r="490" spans="1:13" ht="19.5" customHeight="1">
      <c r="A490" s="293" t="str">
        <f t="shared" si="49"/>
        <v>TP</v>
      </c>
      <c r="B490" s="305">
        <f t="shared" si="50"/>
        <v>146</v>
      </c>
      <c r="C490" s="192" t="s">
        <v>1482</v>
      </c>
      <c r="D490" s="304" t="s">
        <v>544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10882473</v>
      </c>
      <c r="I490" s="25">
        <f t="array" ref="I490">SUM(IF("155"&amp;C490=KHC&amp;MH,SL))</f>
        <v>410</v>
      </c>
      <c r="J490" s="25">
        <f t="array" ref="J490">SUM(IF("155"&amp;C490=KHC&amp;MH,TH))</f>
        <v>10882473</v>
      </c>
      <c r="K490" s="8">
        <f t="shared" si="51"/>
        <v>0</v>
      </c>
      <c r="L490" s="8">
        <f t="shared" si="52"/>
        <v>0</v>
      </c>
      <c r="M490" s="293"/>
    </row>
    <row r="491" spans="1:13" ht="19.5" customHeight="1">
      <c r="A491" s="293" t="str">
        <f t="shared" si="49"/>
        <v>TP</v>
      </c>
      <c r="B491" s="305">
        <f t="shared" si="50"/>
        <v>147</v>
      </c>
      <c r="C491" s="192" t="s">
        <v>1532</v>
      </c>
      <c r="D491" s="304" t="s">
        <v>544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20756816</v>
      </c>
      <c r="I491" s="25">
        <f t="array" ref="I491">SUM(IF("155"&amp;C491=KHC&amp;MH,SL))</f>
        <v>817</v>
      </c>
      <c r="J491" s="25">
        <f t="array" ref="J491">SUM(IF("155"&amp;C491=KHC&amp;MH,TH))</f>
        <v>20756816</v>
      </c>
      <c r="K491" s="8">
        <f t="shared" si="51"/>
        <v>0</v>
      </c>
      <c r="L491" s="8">
        <f t="shared" si="52"/>
        <v>0</v>
      </c>
      <c r="M491" s="293"/>
    </row>
    <row r="492" spans="1:13" ht="19.5" customHeight="1">
      <c r="A492" s="293" t="str">
        <f t="shared" si="49"/>
        <v>TP</v>
      </c>
      <c r="B492" s="305">
        <f t="shared" si="50"/>
        <v>148</v>
      </c>
      <c r="C492" s="192" t="s">
        <v>1516</v>
      </c>
      <c r="D492" s="304" t="s">
        <v>544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33559629</v>
      </c>
      <c r="I492" s="25">
        <f t="array" ref="I492">SUM(IF("155"&amp;C492=KHC&amp;MH,SL))</f>
        <v>1887</v>
      </c>
      <c r="J492" s="25">
        <f t="array" ref="J492">SUM(IF("155"&amp;C492=KHC&amp;MH,TH))</f>
        <v>33559629</v>
      </c>
      <c r="K492" s="8">
        <f t="shared" si="51"/>
        <v>0</v>
      </c>
      <c r="L492" s="8">
        <f t="shared" si="52"/>
        <v>0</v>
      </c>
      <c r="M492" s="293"/>
    </row>
    <row r="493" spans="1:13" ht="19.5" customHeight="1">
      <c r="A493" s="293" t="str">
        <f t="shared" si="49"/>
        <v>TP</v>
      </c>
      <c r="B493" s="305">
        <f t="shared" si="50"/>
        <v>149</v>
      </c>
      <c r="C493" s="192" t="s">
        <v>1544</v>
      </c>
      <c r="D493" s="304" t="s">
        <v>544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48702714</v>
      </c>
      <c r="I493" s="25">
        <f t="array" ref="I493">SUM(IF("155"&amp;C493=KHC&amp;MH,SL))</f>
        <v>3142</v>
      </c>
      <c r="J493" s="25">
        <f t="array" ref="J493">SUM(IF("155"&amp;C493=KHC&amp;MH,TH))</f>
        <v>48702714</v>
      </c>
      <c r="K493" s="8">
        <f t="shared" si="51"/>
        <v>0</v>
      </c>
      <c r="L493" s="8">
        <f t="shared" si="52"/>
        <v>0</v>
      </c>
      <c r="M493" s="293"/>
    </row>
    <row r="494" spans="1:13" ht="19.5" customHeight="1">
      <c r="A494" s="293" t="str">
        <f t="shared" si="49"/>
        <v>TP</v>
      </c>
      <c r="B494" s="305">
        <f t="shared" si="50"/>
        <v>150</v>
      </c>
      <c r="C494" s="192" t="s">
        <v>1180</v>
      </c>
      <c r="D494" s="304" t="s">
        <v>544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2336565</v>
      </c>
      <c r="I494" s="25">
        <f t="array" ref="I494">SUM(IF("155"&amp;C494=KHC&amp;MH,SL))</f>
        <v>219</v>
      </c>
      <c r="J494" s="25">
        <f t="array" ref="J494">SUM(IF("155"&amp;C494=KHC&amp;MH,TH))</f>
        <v>2336565</v>
      </c>
      <c r="K494" s="8">
        <f t="shared" si="51"/>
        <v>0</v>
      </c>
      <c r="L494" s="8">
        <f t="shared" si="52"/>
        <v>0</v>
      </c>
      <c r="M494" s="293"/>
    </row>
    <row r="495" spans="1:13" ht="19.5" customHeight="1">
      <c r="A495" s="293" t="str">
        <f t="shared" si="49"/>
        <v>TP</v>
      </c>
      <c r="B495" s="305">
        <f t="shared" si="50"/>
        <v>151</v>
      </c>
      <c r="C495" s="192" t="s">
        <v>1523</v>
      </c>
      <c r="D495" s="304" t="s">
        <v>544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7267079</v>
      </c>
      <c r="I495" s="25">
        <f t="array" ref="I495">SUM(IF("155"&amp;C495=KHC&amp;MH,SL))</f>
        <v>566</v>
      </c>
      <c r="J495" s="25">
        <f t="array" ref="J495">SUM(IF("155"&amp;C495=KHC&amp;MH,TH))</f>
        <v>7267079</v>
      </c>
      <c r="K495" s="8">
        <f t="shared" si="51"/>
        <v>0</v>
      </c>
      <c r="L495" s="8">
        <f t="shared" si="52"/>
        <v>0</v>
      </c>
      <c r="M495" s="293"/>
    </row>
    <row r="496" spans="1:13" ht="19.5" customHeight="1">
      <c r="A496" s="293" t="str">
        <f t="shared" si="49"/>
        <v>TP</v>
      </c>
      <c r="B496" s="305">
        <f t="shared" si="50"/>
        <v>152</v>
      </c>
      <c r="C496" s="192" t="s">
        <v>1548</v>
      </c>
      <c r="D496" s="304" t="s">
        <v>544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556296</v>
      </c>
      <c r="I496" s="25">
        <f t="array" ref="I496">SUM(IF("155"&amp;C496=KHC&amp;MH,SL))</f>
        <v>40</v>
      </c>
      <c r="J496" s="25">
        <f t="array" ref="J496">SUM(IF("155"&amp;C496=KHC&amp;MH,TH))</f>
        <v>556296</v>
      </c>
      <c r="K496" s="8">
        <f t="shared" si="51"/>
        <v>0</v>
      </c>
      <c r="L496" s="8">
        <f t="shared" si="52"/>
        <v>0</v>
      </c>
      <c r="M496" s="293"/>
    </row>
    <row r="497" spans="1:13" ht="19.5" customHeight="1">
      <c r="A497" s="293" t="str">
        <f t="shared" si="49"/>
        <v>TP</v>
      </c>
      <c r="B497" s="305">
        <f t="shared" si="50"/>
        <v>153</v>
      </c>
      <c r="C497" s="192" t="s">
        <v>1556</v>
      </c>
      <c r="D497" s="304" t="s">
        <v>544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183032</v>
      </c>
      <c r="I497" s="25">
        <f t="array" ref="I497">SUM(IF("155"&amp;C497=KHC&amp;MH,SL))</f>
        <v>12</v>
      </c>
      <c r="J497" s="25">
        <f t="array" ref="J497">SUM(IF("155"&amp;C497=KHC&amp;MH,TH))</f>
        <v>183032</v>
      </c>
      <c r="K497" s="8">
        <f t="shared" si="51"/>
        <v>0</v>
      </c>
      <c r="L497" s="8">
        <f t="shared" si="52"/>
        <v>0</v>
      </c>
      <c r="M497" s="293"/>
    </row>
    <row r="498" spans="1:13" ht="19.5" customHeight="1">
      <c r="A498" s="293" t="str">
        <f t="shared" si="49"/>
        <v>TP</v>
      </c>
      <c r="B498" s="305">
        <f t="shared" si="50"/>
        <v>154</v>
      </c>
      <c r="C498" s="192" t="s">
        <v>1509</v>
      </c>
      <c r="D498" s="304" t="s">
        <v>544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8670422</v>
      </c>
      <c r="I498" s="25">
        <f t="array" ref="I498">SUM(IF("155"&amp;C498=KHC&amp;MH,SL))</f>
        <v>684</v>
      </c>
      <c r="J498" s="25">
        <f t="array" ref="J498">SUM(IF("155"&amp;C498=KHC&amp;MH,TH))</f>
        <v>8670422</v>
      </c>
      <c r="K498" s="8">
        <f t="shared" si="51"/>
        <v>0</v>
      </c>
      <c r="L498" s="8">
        <f t="shared" si="52"/>
        <v>0</v>
      </c>
      <c r="M498" s="293"/>
    </row>
    <row r="499" spans="1:13" ht="19.5" customHeight="1">
      <c r="A499" s="293" t="str">
        <f t="shared" si="49"/>
        <v>TP</v>
      </c>
      <c r="B499" s="305">
        <f t="shared" si="50"/>
        <v>155</v>
      </c>
      <c r="C499" s="192" t="s">
        <v>1507</v>
      </c>
      <c r="D499" s="304" t="s">
        <v>544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136720</v>
      </c>
      <c r="I499" s="25">
        <f t="array" ref="I499">SUM(IF("155"&amp;C499=KHC&amp;MH,SL))</f>
        <v>9</v>
      </c>
      <c r="J499" s="25">
        <f t="array" ref="J499">SUM(IF("155"&amp;C499=KHC&amp;MH,TH))</f>
        <v>136720</v>
      </c>
      <c r="K499" s="8">
        <f t="shared" si="51"/>
        <v>0</v>
      </c>
      <c r="L499" s="8">
        <f t="shared" si="52"/>
        <v>0</v>
      </c>
      <c r="M499" s="293"/>
    </row>
    <row r="500" spans="1:13" ht="19.5" customHeight="1">
      <c r="A500" s="293" t="str">
        <f t="shared" si="49"/>
        <v>TP</v>
      </c>
      <c r="B500" s="305">
        <f t="shared" si="50"/>
        <v>156</v>
      </c>
      <c r="C500" s="192" t="s">
        <v>1524</v>
      </c>
      <c r="D500" s="304" t="s">
        <v>544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27240280</v>
      </c>
      <c r="I500" s="25">
        <f t="array" ref="I500">SUM(IF("155"&amp;C500=KHC&amp;MH,SL))</f>
        <v>1336</v>
      </c>
      <c r="J500" s="25">
        <f t="array" ref="J500">SUM(IF("155"&amp;C500=KHC&amp;MH,TH))</f>
        <v>27240280</v>
      </c>
      <c r="K500" s="8">
        <f t="shared" si="51"/>
        <v>0</v>
      </c>
      <c r="L500" s="8">
        <f t="shared" si="52"/>
        <v>0</v>
      </c>
      <c r="M500" s="293"/>
    </row>
    <row r="501" spans="1:13" ht="19.5" customHeight="1">
      <c r="A501" s="293" t="str">
        <f t="shared" si="49"/>
        <v>TP</v>
      </c>
      <c r="B501" s="305">
        <f t="shared" si="50"/>
        <v>157</v>
      </c>
      <c r="C501" s="192" t="s">
        <v>1520</v>
      </c>
      <c r="D501" s="304" t="s">
        <v>544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34126</v>
      </c>
      <c r="I501" s="25">
        <f t="array" ref="I501">SUM(IF("155"&amp;C501=KHC&amp;MH,SL))</f>
        <v>2</v>
      </c>
      <c r="J501" s="25">
        <f t="array" ref="J501">SUM(IF("155"&amp;C501=KHC&amp;MH,TH))</f>
        <v>34126</v>
      </c>
      <c r="K501" s="8">
        <f t="shared" si="51"/>
        <v>0</v>
      </c>
      <c r="L501" s="8">
        <f t="shared" si="52"/>
        <v>0</v>
      </c>
      <c r="M501" s="293"/>
    </row>
    <row r="502" spans="1:13" ht="19.5" customHeight="1">
      <c r="A502" s="293" t="str">
        <f t="shared" si="49"/>
        <v>TP</v>
      </c>
      <c r="B502" s="305">
        <f t="shared" si="50"/>
        <v>158</v>
      </c>
      <c r="C502" s="192" t="s">
        <v>1517</v>
      </c>
      <c r="D502" s="304" t="s">
        <v>544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6506942</v>
      </c>
      <c r="I502" s="25">
        <f t="array" ref="I502">SUM(IF("155"&amp;C502=KHC&amp;MH,SL))</f>
        <v>354</v>
      </c>
      <c r="J502" s="25">
        <f t="array" ref="J502">SUM(IF("155"&amp;C502=KHC&amp;MH,TH))</f>
        <v>6506942</v>
      </c>
      <c r="K502" s="8">
        <f t="shared" si="51"/>
        <v>0</v>
      </c>
      <c r="L502" s="8">
        <f t="shared" si="52"/>
        <v>0</v>
      </c>
      <c r="M502" s="293"/>
    </row>
    <row r="503" spans="1:13" ht="19.5" customHeight="1">
      <c r="A503" s="293" t="str">
        <f t="shared" si="49"/>
        <v>TP</v>
      </c>
      <c r="B503" s="305">
        <f t="shared" si="50"/>
        <v>159</v>
      </c>
      <c r="C503" s="192" t="s">
        <v>1550</v>
      </c>
      <c r="D503" s="304" t="s">
        <v>544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2668097</v>
      </c>
      <c r="I503" s="25">
        <f t="array" ref="I503">SUM(IF("155"&amp;C503=KHC&amp;MH,SL))</f>
        <v>160</v>
      </c>
      <c r="J503" s="25">
        <f t="array" ref="J503">SUM(IF("155"&amp;C503=KHC&amp;MH,TH))</f>
        <v>2668097</v>
      </c>
      <c r="K503" s="8">
        <f t="shared" si="51"/>
        <v>0</v>
      </c>
      <c r="L503" s="8">
        <f t="shared" si="52"/>
        <v>0</v>
      </c>
      <c r="M503" s="293"/>
    </row>
    <row r="504" spans="1:13" ht="19.5" customHeight="1">
      <c r="A504" s="293" t="str">
        <f t="shared" si="49"/>
        <v>TP</v>
      </c>
      <c r="B504" s="305">
        <f t="shared" si="50"/>
        <v>160</v>
      </c>
      <c r="C504" s="192" t="s">
        <v>1481</v>
      </c>
      <c r="D504" s="304" t="s">
        <v>544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8611689</v>
      </c>
      <c r="I504" s="25">
        <f t="array" ref="I504">SUM(IF("155"&amp;C504=KHC&amp;MH,SL))</f>
        <v>245</v>
      </c>
      <c r="J504" s="25">
        <f t="array" ref="J504">SUM(IF("155"&amp;C504=KHC&amp;MH,TH))</f>
        <v>8611689</v>
      </c>
      <c r="K504" s="8">
        <f t="shared" si="51"/>
        <v>0</v>
      </c>
      <c r="L504" s="8">
        <f t="shared" si="52"/>
        <v>0</v>
      </c>
      <c r="M504" s="293"/>
    </row>
    <row r="505" spans="1:13" ht="19.5" customHeight="1">
      <c r="A505" s="293" t="str">
        <f t="shared" si="49"/>
        <v>TP</v>
      </c>
      <c r="B505" s="305">
        <f t="shared" si="50"/>
        <v>161</v>
      </c>
      <c r="C505" s="192" t="s">
        <v>1478</v>
      </c>
      <c r="D505" s="304" t="s">
        <v>544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6068450</v>
      </c>
      <c r="I505" s="25">
        <f t="array" ref="I505">SUM(IF("155"&amp;C505=KHC&amp;MH,SL))</f>
        <v>145</v>
      </c>
      <c r="J505" s="25">
        <f t="array" ref="J505">SUM(IF("155"&amp;C505=KHC&amp;MH,TH))</f>
        <v>6068450</v>
      </c>
      <c r="K505" s="8">
        <f t="shared" si="51"/>
        <v>0</v>
      </c>
      <c r="L505" s="8">
        <f t="shared" si="52"/>
        <v>0</v>
      </c>
      <c r="M505" s="293"/>
    </row>
    <row r="506" spans="1:13" ht="19.5" customHeight="1">
      <c r="A506" s="293" t="str">
        <f t="shared" si="49"/>
        <v>TP</v>
      </c>
      <c r="B506" s="305">
        <f t="shared" si="50"/>
        <v>162</v>
      </c>
      <c r="C506" s="192" t="s">
        <v>1480</v>
      </c>
      <c r="D506" s="304" t="s">
        <v>544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6125092</v>
      </c>
      <c r="I506" s="25">
        <f t="array" ref="I506">SUM(IF("155"&amp;C506=KHC&amp;MH,SL))</f>
        <v>140</v>
      </c>
      <c r="J506" s="25">
        <f t="array" ref="J506">SUM(IF("155"&amp;C506=KHC&amp;MH,TH))</f>
        <v>6125092</v>
      </c>
      <c r="K506" s="8">
        <f t="shared" si="51"/>
        <v>0</v>
      </c>
      <c r="L506" s="8">
        <f t="shared" si="52"/>
        <v>0</v>
      </c>
      <c r="M506" s="293"/>
    </row>
    <row r="507" spans="1:13" ht="19.5" customHeight="1">
      <c r="A507" s="293" t="str">
        <f t="shared" si="49"/>
        <v>TP</v>
      </c>
      <c r="B507" s="305">
        <f t="shared" si="50"/>
        <v>163</v>
      </c>
      <c r="C507" s="189" t="s">
        <v>1211</v>
      </c>
      <c r="D507" s="304" t="s">
        <v>544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2240970</v>
      </c>
      <c r="I507" s="25">
        <f t="array" ref="I507">SUM(IF("155"&amp;C507=KHC&amp;MH,SL))</f>
        <v>91</v>
      </c>
      <c r="J507" s="25">
        <f t="array" ref="J507">SUM(IF("155"&amp;C507=KHC&amp;MH,TH))</f>
        <v>2240970</v>
      </c>
      <c r="K507" s="8">
        <f t="shared" si="51"/>
        <v>0</v>
      </c>
      <c r="L507" s="8">
        <f t="shared" si="52"/>
        <v>0</v>
      </c>
      <c r="M507" s="293"/>
    </row>
    <row r="508" spans="1:13" ht="19.5" customHeight="1">
      <c r="A508" s="293" t="str">
        <f t="shared" si="49"/>
        <v>TP</v>
      </c>
      <c r="B508" s="305">
        <f t="shared" si="50"/>
        <v>164</v>
      </c>
      <c r="C508" s="192" t="s">
        <v>1155</v>
      </c>
      <c r="D508" s="304" t="s">
        <v>544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26518927</v>
      </c>
      <c r="I508" s="25">
        <f t="array" ref="I508">SUM(IF("155"&amp;C508=KHC&amp;MH,SL))</f>
        <v>1620</v>
      </c>
      <c r="J508" s="25">
        <f t="array" ref="J508">SUM(IF("155"&amp;C508=KHC&amp;MH,TH))</f>
        <v>26518927</v>
      </c>
      <c r="K508" s="8">
        <f t="shared" si="51"/>
        <v>0</v>
      </c>
      <c r="L508" s="8">
        <f t="shared" si="52"/>
        <v>0</v>
      </c>
      <c r="M508" s="293"/>
    </row>
    <row r="509" spans="1:13" ht="19.5" customHeight="1">
      <c r="A509" s="293" t="str">
        <f t="shared" si="49"/>
        <v>TP</v>
      </c>
      <c r="B509" s="305">
        <f t="shared" si="50"/>
        <v>165</v>
      </c>
      <c r="C509" s="879" t="s">
        <v>1194</v>
      </c>
      <c r="D509" s="304" t="s">
        <v>544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1189625</v>
      </c>
      <c r="I509" s="25">
        <f t="array" ref="I509">SUM(IF("155"&amp;C509=KHC&amp;MH,SL))</f>
        <v>327</v>
      </c>
      <c r="J509" s="25">
        <f t="array" ref="J509">SUM(IF("155"&amp;C509=KHC&amp;MH,TH))</f>
        <v>1189625</v>
      </c>
      <c r="K509" s="8">
        <f t="shared" si="51"/>
        <v>0</v>
      </c>
      <c r="L509" s="8">
        <f t="shared" si="52"/>
        <v>0</v>
      </c>
      <c r="M509" s="293"/>
    </row>
    <row r="510" spans="1:13" ht="19.5" customHeight="1">
      <c r="A510" s="293" t="str">
        <f t="shared" ref="A510:A573" si="53">IF(B510&lt;&gt;"","TP","")</f>
        <v>TP</v>
      </c>
      <c r="B510" s="305">
        <f t="shared" ref="B510:B573" si="54">IF(C510&lt;&gt;"",B509+1,"")</f>
        <v>166</v>
      </c>
      <c r="C510" s="192" t="s">
        <v>1152</v>
      </c>
      <c r="D510" s="304" t="s">
        <v>544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3"/>
    </row>
    <row r="511" spans="1:13" ht="19.5" customHeight="1">
      <c r="A511" s="293" t="str">
        <f t="shared" si="53"/>
        <v>TP</v>
      </c>
      <c r="B511" s="305">
        <f t="shared" si="54"/>
        <v>167</v>
      </c>
      <c r="C511" s="879" t="s">
        <v>1193</v>
      </c>
      <c r="D511" s="304" t="s">
        <v>544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1776365</v>
      </c>
      <c r="I511" s="25">
        <f t="array" ref="I511">SUM(IF("155"&amp;C511=KHC&amp;MH,SL))</f>
        <v>317</v>
      </c>
      <c r="J511" s="25">
        <f t="array" ref="J511">SUM(IF("155"&amp;C511=KHC&amp;MH,TH))</f>
        <v>1776365</v>
      </c>
      <c r="K511" s="8">
        <f t="shared" si="51"/>
        <v>0</v>
      </c>
      <c r="L511" s="8">
        <f t="shared" si="52"/>
        <v>0</v>
      </c>
      <c r="M511" s="293"/>
    </row>
    <row r="512" spans="1:13" ht="19.5" customHeight="1">
      <c r="A512" s="293" t="str">
        <f t="shared" si="53"/>
        <v>TP</v>
      </c>
      <c r="B512" s="305">
        <f t="shared" si="54"/>
        <v>168</v>
      </c>
      <c r="C512" s="192" t="s">
        <v>1126</v>
      </c>
      <c r="D512" s="304" t="s">
        <v>544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3467397</v>
      </c>
      <c r="I512" s="25">
        <f t="array" ref="I512">SUM(IF("155"&amp;C512=KHC&amp;MH,SL))</f>
        <v>297</v>
      </c>
      <c r="J512" s="25">
        <f t="array" ref="J512">SUM(IF("155"&amp;C512=KHC&amp;MH,TH))</f>
        <v>3467397</v>
      </c>
      <c r="K512" s="8">
        <f t="shared" si="51"/>
        <v>0</v>
      </c>
      <c r="L512" s="8">
        <f t="shared" si="52"/>
        <v>0</v>
      </c>
      <c r="M512" s="293"/>
    </row>
    <row r="513" spans="1:13" ht="19.5" customHeight="1">
      <c r="A513" s="293" t="str">
        <f t="shared" si="53"/>
        <v>TP</v>
      </c>
      <c r="B513" s="305">
        <f t="shared" si="54"/>
        <v>169</v>
      </c>
      <c r="C513" s="879" t="s">
        <v>1195</v>
      </c>
      <c r="D513" s="304" t="s">
        <v>544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12012712</v>
      </c>
      <c r="I513" s="25">
        <f t="array" ref="I513">SUM(IF("155"&amp;C513=KHC&amp;MH,SL))</f>
        <v>833</v>
      </c>
      <c r="J513" s="25">
        <f t="array" ref="J513">SUM(IF("155"&amp;C513=KHC&amp;MH,TH))</f>
        <v>12012712</v>
      </c>
      <c r="K513" s="8">
        <f t="shared" si="51"/>
        <v>0</v>
      </c>
      <c r="L513" s="8">
        <f t="shared" si="52"/>
        <v>0</v>
      </c>
      <c r="M513" s="293"/>
    </row>
    <row r="514" spans="1:13" ht="19.5" customHeight="1">
      <c r="A514" s="293" t="str">
        <f t="shared" si="53"/>
        <v>TP</v>
      </c>
      <c r="B514" s="305">
        <f t="shared" si="54"/>
        <v>170</v>
      </c>
      <c r="C514" s="879" t="s">
        <v>1192</v>
      </c>
      <c r="D514" s="304" t="s">
        <v>544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13958248</v>
      </c>
      <c r="I514" s="25">
        <f t="array" ref="I514">SUM(IF("155"&amp;C514=KHC&amp;MH,SL))</f>
        <v>2040</v>
      </c>
      <c r="J514" s="25">
        <f t="array" ref="J514">SUM(IF("155"&amp;C514=KHC&amp;MH,TH))</f>
        <v>13958248</v>
      </c>
      <c r="K514" s="8">
        <f t="shared" si="51"/>
        <v>0</v>
      </c>
      <c r="L514" s="8">
        <f t="shared" si="52"/>
        <v>0</v>
      </c>
      <c r="M514" s="293"/>
    </row>
    <row r="515" spans="1:13" ht="19.5" customHeight="1">
      <c r="A515" s="293" t="str">
        <f t="shared" si="53"/>
        <v>TP</v>
      </c>
      <c r="B515" s="305">
        <f t="shared" si="54"/>
        <v>171</v>
      </c>
      <c r="C515" s="879" t="s">
        <v>1196</v>
      </c>
      <c r="D515" s="304" t="s">
        <v>544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1848425</v>
      </c>
      <c r="I515" s="25">
        <f t="array" ref="I515">SUM(IF("155"&amp;C515=KHC&amp;MH,SL))</f>
        <v>230</v>
      </c>
      <c r="J515" s="25">
        <f t="array" ref="J515">SUM(IF("155"&amp;C515=KHC&amp;MH,TH))</f>
        <v>1848425</v>
      </c>
      <c r="K515" s="8">
        <f t="shared" si="51"/>
        <v>0</v>
      </c>
      <c r="L515" s="8">
        <f t="shared" si="52"/>
        <v>0</v>
      </c>
      <c r="M515" s="293"/>
    </row>
    <row r="516" spans="1:13" ht="19.5" customHeight="1">
      <c r="A516" s="293" t="str">
        <f t="shared" si="53"/>
        <v>TP</v>
      </c>
      <c r="B516" s="305">
        <f t="shared" si="54"/>
        <v>172</v>
      </c>
      <c r="C516" s="192" t="s">
        <v>1201</v>
      </c>
      <c r="D516" s="304" t="s">
        <v>544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1833012</v>
      </c>
      <c r="I516" s="25">
        <f t="array" ref="I516">SUM(IF("155"&amp;C516=KHC&amp;MH,SL))</f>
        <v>300</v>
      </c>
      <c r="J516" s="25">
        <f t="array" ref="J516">SUM(IF("155"&amp;C516=KHC&amp;MH,TH))</f>
        <v>1833012</v>
      </c>
      <c r="K516" s="8">
        <f t="shared" si="51"/>
        <v>0</v>
      </c>
      <c r="L516" s="8">
        <f t="shared" si="52"/>
        <v>0</v>
      </c>
      <c r="M516" s="293"/>
    </row>
    <row r="517" spans="1:13" ht="19.5" customHeight="1">
      <c r="A517" s="293" t="str">
        <f t="shared" si="53"/>
        <v>TP</v>
      </c>
      <c r="B517" s="305">
        <f t="shared" si="54"/>
        <v>173</v>
      </c>
      <c r="C517" s="189" t="s">
        <v>1232</v>
      </c>
      <c r="D517" s="304" t="s">
        <v>544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1325149</v>
      </c>
      <c r="I517" s="25">
        <f t="array" ref="I517">SUM(IF("155"&amp;C517=KHC&amp;MH,SL))</f>
        <v>100</v>
      </c>
      <c r="J517" s="25">
        <f t="array" ref="J517">SUM(IF("155"&amp;C517=KHC&amp;MH,TH))</f>
        <v>1325149</v>
      </c>
      <c r="K517" s="8">
        <f t="shared" si="51"/>
        <v>0</v>
      </c>
      <c r="L517" s="8">
        <f t="shared" si="52"/>
        <v>0</v>
      </c>
      <c r="M517" s="293"/>
    </row>
    <row r="518" spans="1:13" ht="19.5" customHeight="1">
      <c r="A518" s="293" t="str">
        <f t="shared" si="53"/>
        <v>TP</v>
      </c>
      <c r="B518" s="305">
        <f t="shared" si="54"/>
        <v>174</v>
      </c>
      <c r="C518" s="192" t="s">
        <v>1033</v>
      </c>
      <c r="D518" s="304" t="s">
        <v>544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8719614</v>
      </c>
      <c r="I518" s="25">
        <f t="array" ref="I518">SUM(IF("155"&amp;C518=KHC&amp;MH,SL))</f>
        <v>1323</v>
      </c>
      <c r="J518" s="25">
        <f t="array" ref="J518">SUM(IF("155"&amp;C518=KHC&amp;MH,TH))</f>
        <v>8719614</v>
      </c>
      <c r="K518" s="8">
        <f t="shared" si="51"/>
        <v>0</v>
      </c>
      <c r="L518" s="8">
        <f t="shared" si="52"/>
        <v>0</v>
      </c>
      <c r="M518" s="293"/>
    </row>
    <row r="519" spans="1:13" ht="19.5" customHeight="1">
      <c r="A519" s="293" t="str">
        <f t="shared" si="53"/>
        <v>TP</v>
      </c>
      <c r="B519" s="305">
        <f t="shared" si="54"/>
        <v>175</v>
      </c>
      <c r="C519" s="192" t="s">
        <v>1161</v>
      </c>
      <c r="D519" s="304" t="s">
        <v>544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3"/>
    </row>
    <row r="520" spans="1:13" ht="19.5" customHeight="1">
      <c r="A520" s="293" t="str">
        <f t="shared" si="53"/>
        <v>TP</v>
      </c>
      <c r="B520" s="305">
        <f t="shared" si="54"/>
        <v>176</v>
      </c>
      <c r="C520" s="192" t="s">
        <v>1151</v>
      </c>
      <c r="D520" s="304" t="s">
        <v>544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3"/>
    </row>
    <row r="521" spans="1:13" ht="19.5" customHeight="1">
      <c r="A521" s="293" t="str">
        <f t="shared" si="53"/>
        <v>TP</v>
      </c>
      <c r="B521" s="305">
        <f t="shared" si="54"/>
        <v>177</v>
      </c>
      <c r="C521" s="192" t="s">
        <v>1153</v>
      </c>
      <c r="D521" s="304" t="s">
        <v>544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14325918</v>
      </c>
      <c r="I521" s="25">
        <f t="array" ref="I521">SUM(IF("155"&amp;C521=KHC&amp;MH,SL))</f>
        <v>2821</v>
      </c>
      <c r="J521" s="25">
        <f t="array" ref="J521">SUM(IF("155"&amp;C521=KHC&amp;MH,TH))</f>
        <v>14325918</v>
      </c>
      <c r="K521" s="8">
        <f t="shared" si="51"/>
        <v>0</v>
      </c>
      <c r="L521" s="8">
        <f t="shared" si="52"/>
        <v>0</v>
      </c>
      <c r="M521" s="293"/>
    </row>
    <row r="522" spans="1:13" ht="19.5" customHeight="1">
      <c r="A522" s="293" t="str">
        <f t="shared" si="53"/>
        <v>TP</v>
      </c>
      <c r="B522" s="305">
        <f t="shared" si="54"/>
        <v>178</v>
      </c>
      <c r="C522" s="192" t="s">
        <v>1163</v>
      </c>
      <c r="D522" s="304" t="s">
        <v>544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3"/>
    </row>
    <row r="523" spans="1:13" ht="19.5" customHeight="1">
      <c r="A523" s="293" t="str">
        <f t="shared" si="53"/>
        <v>TP</v>
      </c>
      <c r="B523" s="305">
        <f t="shared" si="54"/>
        <v>179</v>
      </c>
      <c r="C523" s="192" t="s">
        <v>1162</v>
      </c>
      <c r="D523" s="304" t="s">
        <v>544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3"/>
    </row>
    <row r="524" spans="1:13" ht="19.5" customHeight="1">
      <c r="A524" s="293" t="str">
        <f t="shared" si="53"/>
        <v>TP</v>
      </c>
      <c r="B524" s="305">
        <f t="shared" si="54"/>
        <v>180</v>
      </c>
      <c r="C524" s="192" t="s">
        <v>1154</v>
      </c>
      <c r="D524" s="304" t="s">
        <v>544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3"/>
    </row>
    <row r="525" spans="1:13" ht="19.5" customHeight="1">
      <c r="A525" s="293" t="str">
        <f t="shared" si="53"/>
        <v>TP</v>
      </c>
      <c r="B525" s="305">
        <f t="shared" si="54"/>
        <v>181</v>
      </c>
      <c r="C525" s="192" t="s">
        <v>1164</v>
      </c>
      <c r="D525" s="304" t="s">
        <v>544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3"/>
    </row>
    <row r="526" spans="1:13" ht="19.5" customHeight="1">
      <c r="A526" s="293" t="str">
        <f t="shared" si="53"/>
        <v>TP</v>
      </c>
      <c r="B526" s="305">
        <f t="shared" si="54"/>
        <v>182</v>
      </c>
      <c r="C526" s="192" t="s">
        <v>1175</v>
      </c>
      <c r="D526" s="304" t="s">
        <v>544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7310417</v>
      </c>
      <c r="I526" s="25">
        <f t="array" ref="I526">SUM(IF("155"&amp;C526=KHC&amp;MH,SL))</f>
        <v>1110</v>
      </c>
      <c r="J526" s="25">
        <f t="array" ref="J526">SUM(IF("155"&amp;C526=KHC&amp;MH,TH))</f>
        <v>7310417</v>
      </c>
      <c r="K526" s="8">
        <f t="shared" si="51"/>
        <v>0</v>
      </c>
      <c r="L526" s="8">
        <f t="shared" si="52"/>
        <v>0</v>
      </c>
      <c r="M526" s="293"/>
    </row>
    <row r="527" spans="1:13" ht="19.5" customHeight="1">
      <c r="A527" s="293" t="str">
        <f t="shared" si="53"/>
        <v>TP</v>
      </c>
      <c r="B527" s="305">
        <f t="shared" si="54"/>
        <v>183</v>
      </c>
      <c r="C527" s="192" t="s">
        <v>1170</v>
      </c>
      <c r="D527" s="304" t="s">
        <v>544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12092471</v>
      </c>
      <c r="I527" s="25">
        <f t="array" ref="I527">SUM(IF("155"&amp;C527=KHC&amp;MH,SL))</f>
        <v>2000</v>
      </c>
      <c r="J527" s="25">
        <f t="array" ref="J527">SUM(IF("155"&amp;C527=KHC&amp;MH,TH))</f>
        <v>12092471</v>
      </c>
      <c r="K527" s="8">
        <f t="shared" si="51"/>
        <v>0</v>
      </c>
      <c r="L527" s="8">
        <f t="shared" si="52"/>
        <v>0</v>
      </c>
      <c r="M527" s="293"/>
    </row>
    <row r="528" spans="1:13" ht="19.5" customHeight="1">
      <c r="A528" s="293" t="str">
        <f t="shared" si="53"/>
        <v>TP</v>
      </c>
      <c r="B528" s="305">
        <f t="shared" si="54"/>
        <v>184</v>
      </c>
      <c r="C528" s="192" t="s">
        <v>1174</v>
      </c>
      <c r="D528" s="304" t="s">
        <v>544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13308043</v>
      </c>
      <c r="I528" s="25">
        <f t="array" ref="I528">SUM(IF("155"&amp;C528=KHC&amp;MH,SL))</f>
        <v>2035</v>
      </c>
      <c r="J528" s="25">
        <f t="array" ref="J528">SUM(IF("155"&amp;C528=KHC&amp;MH,TH))</f>
        <v>13308043</v>
      </c>
      <c r="K528" s="8">
        <f t="shared" ref="K528:K586" si="55">E528+G528-I528</f>
        <v>0</v>
      </c>
      <c r="L528" s="8">
        <f t="shared" ref="L528:L586" si="56">F528+H528-J528</f>
        <v>0</v>
      </c>
      <c r="M528" s="293"/>
    </row>
    <row r="529" spans="1:13" ht="19.5" customHeight="1">
      <c r="A529" s="293" t="str">
        <f t="shared" si="53"/>
        <v>TP</v>
      </c>
      <c r="B529" s="305">
        <f t="shared" si="54"/>
        <v>185</v>
      </c>
      <c r="C529" s="192" t="s">
        <v>1181</v>
      </c>
      <c r="D529" s="304" t="s">
        <v>544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6535480</v>
      </c>
      <c r="I529" s="25">
        <f t="array" ref="I529">SUM(IF("155"&amp;C529=KHC&amp;MH,SL))</f>
        <v>990</v>
      </c>
      <c r="J529" s="25">
        <f t="array" ref="J529">SUM(IF("155"&amp;C529=KHC&amp;MH,TH))</f>
        <v>6535480</v>
      </c>
      <c r="K529" s="8">
        <f t="shared" si="55"/>
        <v>0</v>
      </c>
      <c r="L529" s="8">
        <f t="shared" si="56"/>
        <v>0</v>
      </c>
      <c r="M529" s="293"/>
    </row>
    <row r="530" spans="1:13" ht="19.5" customHeight="1">
      <c r="A530" s="293" t="str">
        <f t="shared" si="53"/>
        <v>TP</v>
      </c>
      <c r="B530" s="305">
        <f t="shared" si="54"/>
        <v>186</v>
      </c>
      <c r="C530" s="879" t="s">
        <v>1188</v>
      </c>
      <c r="D530" s="304" t="s">
        <v>544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1993438</v>
      </c>
      <c r="I530" s="25">
        <f t="array" ref="I530">SUM(IF("155"&amp;C530=KHC&amp;MH,SL))</f>
        <v>296</v>
      </c>
      <c r="J530" s="25">
        <f t="array" ref="J530">SUM(IF("155"&amp;C530=KHC&amp;MH,TH))</f>
        <v>1993438</v>
      </c>
      <c r="K530" s="8">
        <f t="shared" si="55"/>
        <v>0</v>
      </c>
      <c r="L530" s="8">
        <f t="shared" si="56"/>
        <v>0</v>
      </c>
      <c r="M530" s="293"/>
    </row>
    <row r="531" spans="1:13" ht="19.5" customHeight="1">
      <c r="A531" s="293" t="str">
        <f t="shared" si="53"/>
        <v>TP</v>
      </c>
      <c r="B531" s="305">
        <f t="shared" si="54"/>
        <v>187</v>
      </c>
      <c r="C531" s="879" t="s">
        <v>1187</v>
      </c>
      <c r="D531" s="304" t="s">
        <v>544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1764916</v>
      </c>
      <c r="I531" s="25">
        <f t="array" ref="I531">SUM(IF("155"&amp;C531=KHC&amp;MH,SL))</f>
        <v>299</v>
      </c>
      <c r="J531" s="25">
        <f t="array" ref="J531">SUM(IF("155"&amp;C531=KHC&amp;MH,TH))</f>
        <v>1764916</v>
      </c>
      <c r="K531" s="8">
        <f t="shared" si="55"/>
        <v>0</v>
      </c>
      <c r="L531" s="8">
        <f t="shared" si="56"/>
        <v>0</v>
      </c>
      <c r="M531" s="293"/>
    </row>
    <row r="532" spans="1:13" ht="19.5" customHeight="1">
      <c r="A532" s="293" t="str">
        <f t="shared" si="53"/>
        <v>TP</v>
      </c>
      <c r="B532" s="305">
        <f t="shared" si="54"/>
        <v>188</v>
      </c>
      <c r="C532" s="192" t="s">
        <v>1237</v>
      </c>
      <c r="D532" s="304" t="s">
        <v>544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11559719</v>
      </c>
      <c r="I532" s="25">
        <f t="array" ref="I532">SUM(IF("155"&amp;C532=KHC&amp;MH,SL))</f>
        <v>1030</v>
      </c>
      <c r="J532" s="25">
        <f t="array" ref="J532">SUM(IF("155"&amp;C532=KHC&amp;MH,TH))</f>
        <v>11559719</v>
      </c>
      <c r="K532" s="8">
        <f t="shared" si="55"/>
        <v>0</v>
      </c>
      <c r="L532" s="8">
        <f t="shared" si="56"/>
        <v>0</v>
      </c>
      <c r="M532" s="293"/>
    </row>
    <row r="533" spans="1:13" ht="19.5" customHeight="1">
      <c r="A533" s="293" t="str">
        <f t="shared" si="53"/>
        <v>TP</v>
      </c>
      <c r="B533" s="305">
        <f t="shared" si="54"/>
        <v>189</v>
      </c>
      <c r="C533" s="192" t="s">
        <v>1125</v>
      </c>
      <c r="D533" s="304" t="s">
        <v>544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24732761</v>
      </c>
      <c r="I533" s="25">
        <f t="array" ref="I533">SUM(IF("155"&amp;C533=KHC&amp;MH,SL))</f>
        <v>3130</v>
      </c>
      <c r="J533" s="25">
        <f t="array" ref="J533">SUM(IF("155"&amp;C533=KHC&amp;MH,TH))</f>
        <v>24732761</v>
      </c>
      <c r="K533" s="8">
        <f t="shared" si="55"/>
        <v>0</v>
      </c>
      <c r="L533" s="8">
        <f t="shared" si="56"/>
        <v>0</v>
      </c>
      <c r="M533" s="293"/>
    </row>
    <row r="534" spans="1:13" ht="19.5" customHeight="1">
      <c r="A534" s="293" t="str">
        <f t="shared" si="53"/>
        <v>TP</v>
      </c>
      <c r="B534" s="305">
        <f t="shared" si="54"/>
        <v>190</v>
      </c>
      <c r="C534" s="192" t="s">
        <v>1206</v>
      </c>
      <c r="D534" s="304" t="s">
        <v>544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11850439</v>
      </c>
      <c r="I534" s="25">
        <f t="array" ref="I534">SUM(IF("155"&amp;C534=KHC&amp;MH,SL))</f>
        <v>825</v>
      </c>
      <c r="J534" s="25">
        <f t="array" ref="J534">SUM(IF("155"&amp;C534=KHC&amp;MH,TH))</f>
        <v>11850439</v>
      </c>
      <c r="K534" s="8">
        <f t="shared" si="55"/>
        <v>0</v>
      </c>
      <c r="L534" s="8">
        <f t="shared" si="56"/>
        <v>0</v>
      </c>
      <c r="M534" s="293"/>
    </row>
    <row r="535" spans="1:13" ht="19.5" customHeight="1">
      <c r="A535" s="293" t="str">
        <f t="shared" si="53"/>
        <v>TP</v>
      </c>
      <c r="B535" s="305">
        <f t="shared" si="54"/>
        <v>191</v>
      </c>
      <c r="C535" s="192" t="s">
        <v>1234</v>
      </c>
      <c r="D535" s="304" t="s">
        <v>544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11323844</v>
      </c>
      <c r="I535" s="25">
        <f t="array" ref="I535">SUM(IF("155"&amp;C535=KHC&amp;MH,SL))</f>
        <v>600</v>
      </c>
      <c r="J535" s="25">
        <f t="array" ref="J535">SUM(IF("155"&amp;C535=KHC&amp;MH,TH))</f>
        <v>11323844</v>
      </c>
      <c r="K535" s="8">
        <f t="shared" si="55"/>
        <v>0</v>
      </c>
      <c r="L535" s="8">
        <f t="shared" si="56"/>
        <v>0</v>
      </c>
      <c r="M535" s="293"/>
    </row>
    <row r="536" spans="1:13" ht="19.5" customHeight="1">
      <c r="A536" s="293" t="str">
        <f t="shared" si="53"/>
        <v>TP</v>
      </c>
      <c r="B536" s="305">
        <f t="shared" si="54"/>
        <v>192</v>
      </c>
      <c r="C536" s="192" t="s">
        <v>1159</v>
      </c>
      <c r="D536" s="304" t="s">
        <v>544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3"/>
    </row>
    <row r="537" spans="1:13" ht="19.5" customHeight="1">
      <c r="A537" s="293" t="str">
        <f t="shared" si="53"/>
        <v>TP</v>
      </c>
      <c r="B537" s="305">
        <f t="shared" si="54"/>
        <v>193</v>
      </c>
      <c r="C537" s="192" t="s">
        <v>1559</v>
      </c>
      <c r="D537" s="304" t="s">
        <v>544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2206032</v>
      </c>
      <c r="I537" s="25">
        <f t="array" ref="I537">SUM(IF("155"&amp;C537=KHC&amp;MH,SL))</f>
        <v>200</v>
      </c>
      <c r="J537" s="25">
        <f t="array" ref="J537">SUM(IF("155"&amp;C537=KHC&amp;MH,TH))</f>
        <v>2206032</v>
      </c>
      <c r="K537" s="8">
        <f t="shared" si="55"/>
        <v>0</v>
      </c>
      <c r="L537" s="8">
        <f t="shared" si="56"/>
        <v>0</v>
      </c>
      <c r="M537" s="293"/>
    </row>
    <row r="538" spans="1:13" ht="19.5" customHeight="1">
      <c r="A538" s="293" t="str">
        <f t="shared" si="53"/>
        <v>TP</v>
      </c>
      <c r="B538" s="305">
        <f t="shared" si="54"/>
        <v>194</v>
      </c>
      <c r="C538" s="192" t="s">
        <v>1490</v>
      </c>
      <c r="D538" s="304" t="s">
        <v>544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3906996</v>
      </c>
      <c r="I538" s="25">
        <f t="array" ref="I538">SUM(IF("155"&amp;C538=KHC&amp;MH,SL))</f>
        <v>330</v>
      </c>
      <c r="J538" s="25">
        <f t="array" ref="J538">SUM(IF("155"&amp;C538=KHC&amp;MH,TH))</f>
        <v>3906996</v>
      </c>
      <c r="K538" s="8">
        <f t="shared" si="55"/>
        <v>0</v>
      </c>
      <c r="L538" s="8">
        <f t="shared" si="56"/>
        <v>0</v>
      </c>
      <c r="M538" s="293"/>
    </row>
    <row r="539" spans="1:13" ht="19.5" customHeight="1">
      <c r="A539" s="293" t="str">
        <f t="shared" si="53"/>
        <v>TP</v>
      </c>
      <c r="B539" s="305">
        <f t="shared" si="54"/>
        <v>195</v>
      </c>
      <c r="C539" s="192" t="s">
        <v>552</v>
      </c>
      <c r="D539" s="304" t="s">
        <v>544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6667018</v>
      </c>
      <c r="I539" s="25">
        <f t="array" ref="I539">SUM(IF("155"&amp;C539=KHC&amp;MH,SL))</f>
        <v>546</v>
      </c>
      <c r="J539" s="25">
        <f t="array" ref="J539">SUM(IF("155"&amp;C539=KHC&amp;MH,TH))</f>
        <v>6667018</v>
      </c>
      <c r="K539" s="8">
        <f t="shared" si="55"/>
        <v>0</v>
      </c>
      <c r="L539" s="8">
        <f t="shared" si="56"/>
        <v>0</v>
      </c>
      <c r="M539" s="293"/>
    </row>
    <row r="540" spans="1:13" ht="19.5" customHeight="1">
      <c r="A540" s="293" t="str">
        <f t="shared" si="53"/>
        <v>TP</v>
      </c>
      <c r="B540" s="305">
        <f t="shared" si="54"/>
        <v>196</v>
      </c>
      <c r="C540" s="192" t="s">
        <v>952</v>
      </c>
      <c r="D540" s="304" t="s">
        <v>544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4461454</v>
      </c>
      <c r="I540" s="25">
        <f t="array" ref="I540">SUM(IF("155"&amp;C540=KHC&amp;MH,SL))</f>
        <v>210</v>
      </c>
      <c r="J540" s="25">
        <f t="array" ref="J540">SUM(IF("155"&amp;C540=KHC&amp;MH,TH))</f>
        <v>4461454</v>
      </c>
      <c r="K540" s="8">
        <f t="shared" si="55"/>
        <v>0</v>
      </c>
      <c r="L540" s="8">
        <f t="shared" si="56"/>
        <v>0</v>
      </c>
      <c r="M540" s="293"/>
    </row>
    <row r="541" spans="1:13" ht="19.5" customHeight="1">
      <c r="A541" s="293" t="str">
        <f t="shared" si="53"/>
        <v>TP</v>
      </c>
      <c r="B541" s="305">
        <f t="shared" si="54"/>
        <v>197</v>
      </c>
      <c r="C541" s="192" t="s">
        <v>1202</v>
      </c>
      <c r="D541" s="304" t="s">
        <v>544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1423661</v>
      </c>
      <c r="I541" s="25">
        <f t="array" ref="I541">SUM(IF("155"&amp;C541=KHC&amp;MH,SL))</f>
        <v>308</v>
      </c>
      <c r="J541" s="25">
        <f t="array" ref="J541">SUM(IF("155"&amp;C541=KHC&amp;MH,TH))</f>
        <v>1423661</v>
      </c>
      <c r="K541" s="8">
        <f t="shared" si="55"/>
        <v>0</v>
      </c>
      <c r="L541" s="8">
        <f t="shared" si="56"/>
        <v>0</v>
      </c>
      <c r="M541" s="293"/>
    </row>
    <row r="542" spans="1:13" ht="19.5" customHeight="1">
      <c r="A542" s="293" t="str">
        <f t="shared" si="53"/>
        <v>TP</v>
      </c>
      <c r="B542" s="305">
        <f t="shared" si="54"/>
        <v>198</v>
      </c>
      <c r="C542" s="192" t="s">
        <v>1128</v>
      </c>
      <c r="D542" s="304" t="s">
        <v>544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10816439</v>
      </c>
      <c r="I542" s="25">
        <f t="array" ref="I542">SUM(IF("155"&amp;C542=KHC&amp;MH,SL))</f>
        <v>848</v>
      </c>
      <c r="J542" s="25">
        <f t="array" ref="J542">SUM(IF("155"&amp;C542=KHC&amp;MH,TH))</f>
        <v>10816439</v>
      </c>
      <c r="K542" s="8">
        <f t="shared" si="55"/>
        <v>0</v>
      </c>
      <c r="L542" s="8">
        <f t="shared" si="56"/>
        <v>0</v>
      </c>
      <c r="M542" s="293"/>
    </row>
    <row r="543" spans="1:13" ht="19.5" customHeight="1">
      <c r="A543" s="293" t="str">
        <f t="shared" si="53"/>
        <v>TP</v>
      </c>
      <c r="B543" s="305">
        <f t="shared" si="54"/>
        <v>199</v>
      </c>
      <c r="C543" s="192" t="s">
        <v>1122</v>
      </c>
      <c r="D543" s="304" t="s">
        <v>544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3863142</v>
      </c>
      <c r="I543" s="25">
        <f t="array" ref="I543">SUM(IF("155"&amp;C543=KHC&amp;MH,SL))</f>
        <v>504</v>
      </c>
      <c r="J543" s="25">
        <f t="array" ref="J543">SUM(IF("155"&amp;C543=KHC&amp;MH,TH))</f>
        <v>3863142</v>
      </c>
      <c r="K543" s="8">
        <f t="shared" si="55"/>
        <v>0</v>
      </c>
      <c r="L543" s="8">
        <f t="shared" si="56"/>
        <v>0</v>
      </c>
      <c r="M543" s="293"/>
    </row>
    <row r="544" spans="1:13" ht="19.5" customHeight="1">
      <c r="A544" s="293" t="str">
        <f t="shared" si="53"/>
        <v>TP</v>
      </c>
      <c r="B544" s="305">
        <f t="shared" si="54"/>
        <v>200</v>
      </c>
      <c r="C544" s="192" t="s">
        <v>1037</v>
      </c>
      <c r="D544" s="304" t="s">
        <v>544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3"/>
    </row>
    <row r="545" spans="1:13" ht="19.5" customHeight="1">
      <c r="A545" s="293" t="str">
        <f t="shared" si="53"/>
        <v>TP</v>
      </c>
      <c r="B545" s="305">
        <f t="shared" si="54"/>
        <v>201</v>
      </c>
      <c r="C545" s="192" t="s">
        <v>1168</v>
      </c>
      <c r="D545" s="304" t="s">
        <v>544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1255157</v>
      </c>
      <c r="I545" s="25">
        <f t="array" ref="I545">SUM(IF("155"&amp;C545=KHC&amp;MH,SL))</f>
        <v>138</v>
      </c>
      <c r="J545" s="25">
        <f t="array" ref="J545">SUM(IF("155"&amp;C545=KHC&amp;MH,TH))</f>
        <v>1255157</v>
      </c>
      <c r="K545" s="8">
        <f t="shared" si="55"/>
        <v>0</v>
      </c>
      <c r="L545" s="8">
        <f t="shared" si="56"/>
        <v>0</v>
      </c>
      <c r="M545" s="293"/>
    </row>
    <row r="546" spans="1:13" ht="19.5" customHeight="1">
      <c r="A546" s="293" t="str">
        <f t="shared" si="53"/>
        <v>TP</v>
      </c>
      <c r="B546" s="305">
        <f t="shared" si="54"/>
        <v>202</v>
      </c>
      <c r="C546" s="192" t="s">
        <v>1169</v>
      </c>
      <c r="D546" s="304" t="s">
        <v>544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4368998</v>
      </c>
      <c r="I546" s="25">
        <f t="array" ref="I546">SUM(IF("155"&amp;C546=KHC&amp;MH,SL))</f>
        <v>594</v>
      </c>
      <c r="J546" s="25">
        <f t="array" ref="J546">SUM(IF("155"&amp;C546=KHC&amp;MH,TH))</f>
        <v>4368998</v>
      </c>
      <c r="K546" s="8">
        <f t="shared" si="55"/>
        <v>0</v>
      </c>
      <c r="L546" s="8">
        <f t="shared" si="56"/>
        <v>0</v>
      </c>
      <c r="M546" s="293"/>
    </row>
    <row r="547" spans="1:13" ht="19.5" customHeight="1">
      <c r="A547" s="293" t="str">
        <f t="shared" si="53"/>
        <v>TP</v>
      </c>
      <c r="B547" s="305">
        <f t="shared" si="54"/>
        <v>203</v>
      </c>
      <c r="C547" s="879" t="s">
        <v>1129</v>
      </c>
      <c r="D547" s="304" t="s">
        <v>544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5233729</v>
      </c>
      <c r="I547" s="25">
        <f t="array" ref="I547">SUM(IF("155"&amp;C547=KHC&amp;MH,SL))</f>
        <v>519</v>
      </c>
      <c r="J547" s="25">
        <f t="array" ref="J547">SUM(IF("155"&amp;C547=KHC&amp;MH,TH))</f>
        <v>5233729</v>
      </c>
      <c r="K547" s="8">
        <f t="shared" si="55"/>
        <v>0</v>
      </c>
      <c r="L547" s="8">
        <f t="shared" si="56"/>
        <v>0</v>
      </c>
      <c r="M547" s="293"/>
    </row>
    <row r="548" spans="1:13" ht="19.5" customHeight="1">
      <c r="A548" s="293" t="str">
        <f t="shared" si="53"/>
        <v>TP</v>
      </c>
      <c r="B548" s="305">
        <f t="shared" si="54"/>
        <v>204</v>
      </c>
      <c r="C548" s="192" t="s">
        <v>1223</v>
      </c>
      <c r="D548" s="304" t="s">
        <v>544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1462226</v>
      </c>
      <c r="I548" s="25">
        <f t="array" ref="I548">SUM(IF("155"&amp;C548=KHC&amp;MH,SL))</f>
        <v>204</v>
      </c>
      <c r="J548" s="25">
        <f t="array" ref="J548">SUM(IF("155"&amp;C548=KHC&amp;MH,TH))</f>
        <v>1462226</v>
      </c>
      <c r="K548" s="8">
        <f t="shared" si="55"/>
        <v>0</v>
      </c>
      <c r="L548" s="8">
        <f t="shared" si="56"/>
        <v>0</v>
      </c>
      <c r="M548" s="293"/>
    </row>
    <row r="549" spans="1:13" ht="19.5" customHeight="1">
      <c r="A549" s="293" t="str">
        <f t="shared" si="53"/>
        <v>TP</v>
      </c>
      <c r="B549" s="305">
        <f t="shared" si="54"/>
        <v>205</v>
      </c>
      <c r="C549" s="192" t="s">
        <v>1224</v>
      </c>
      <c r="D549" s="304" t="s">
        <v>544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1169819</v>
      </c>
      <c r="I549" s="25">
        <f t="array" ref="I549">SUM(IF("155"&amp;C549=KHC&amp;MH,SL))</f>
        <v>253</v>
      </c>
      <c r="J549" s="25">
        <f t="array" ref="J549">SUM(IF("155"&amp;C549=KHC&amp;MH,TH))</f>
        <v>1169819</v>
      </c>
      <c r="K549" s="8">
        <f t="shared" si="55"/>
        <v>0</v>
      </c>
      <c r="L549" s="8">
        <f t="shared" si="56"/>
        <v>0</v>
      </c>
      <c r="M549" s="293"/>
    </row>
    <row r="550" spans="1:13" ht="19.5" customHeight="1">
      <c r="A550" s="293" t="str">
        <f t="shared" si="53"/>
        <v>TP</v>
      </c>
      <c r="B550" s="305">
        <f t="shared" si="54"/>
        <v>206</v>
      </c>
      <c r="C550" s="192" t="s">
        <v>1184</v>
      </c>
      <c r="D550" s="304" t="s">
        <v>544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5963168</v>
      </c>
      <c r="I550" s="25">
        <f t="array" ref="I550">SUM(IF("155"&amp;C550=KHC&amp;MH,SL))</f>
        <v>450</v>
      </c>
      <c r="J550" s="25">
        <f t="array" ref="J550">SUM(IF("155"&amp;C550=KHC&amp;MH,TH))</f>
        <v>5963168</v>
      </c>
      <c r="K550" s="8">
        <f t="shared" si="55"/>
        <v>0</v>
      </c>
      <c r="L550" s="8">
        <f t="shared" si="56"/>
        <v>0</v>
      </c>
      <c r="M550" s="293"/>
    </row>
    <row r="551" spans="1:13" ht="19.5" customHeight="1">
      <c r="A551" s="293" t="str">
        <f t="shared" si="53"/>
        <v>TP</v>
      </c>
      <c r="B551" s="305">
        <f t="shared" si="54"/>
        <v>207</v>
      </c>
      <c r="C551" s="192" t="s">
        <v>1123</v>
      </c>
      <c r="D551" s="304" t="s">
        <v>544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4283225</v>
      </c>
      <c r="I551" s="25">
        <f t="array" ref="I551">SUM(IF("155"&amp;C551=KHC&amp;MH,SL))</f>
        <v>483</v>
      </c>
      <c r="J551" s="25">
        <f t="array" ref="J551">SUM(IF("155"&amp;C551=KHC&amp;MH,TH))</f>
        <v>4283225</v>
      </c>
      <c r="K551" s="8">
        <f t="shared" si="55"/>
        <v>0</v>
      </c>
      <c r="L551" s="8">
        <f t="shared" si="56"/>
        <v>0</v>
      </c>
      <c r="M551" s="293"/>
    </row>
    <row r="552" spans="1:13" ht="19.5" customHeight="1">
      <c r="A552" s="293" t="str">
        <f t="shared" si="53"/>
        <v>TP</v>
      </c>
      <c r="B552" s="305">
        <f t="shared" si="54"/>
        <v>208</v>
      </c>
      <c r="C552" s="192" t="s">
        <v>1124</v>
      </c>
      <c r="D552" s="304" t="s">
        <v>544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4492173</v>
      </c>
      <c r="I552" s="25">
        <f t="array" ref="I552">SUM(IF("155"&amp;C552=KHC&amp;MH,SL))</f>
        <v>500</v>
      </c>
      <c r="J552" s="25">
        <f t="array" ref="J552">SUM(IF("155"&amp;C552=KHC&amp;MH,TH))</f>
        <v>4492173</v>
      </c>
      <c r="K552" s="8">
        <f t="shared" si="55"/>
        <v>0</v>
      </c>
      <c r="L552" s="8">
        <f t="shared" si="56"/>
        <v>0</v>
      </c>
      <c r="M552" s="293"/>
    </row>
    <row r="553" spans="1:13" ht="19.5" customHeight="1">
      <c r="A553" s="293" t="str">
        <f t="shared" si="53"/>
        <v>TP</v>
      </c>
      <c r="B553" s="305">
        <f t="shared" si="54"/>
        <v>209</v>
      </c>
      <c r="C553" s="192" t="s">
        <v>1127</v>
      </c>
      <c r="D553" s="304" t="s">
        <v>544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3219252</v>
      </c>
      <c r="I553" s="25">
        <f t="array" ref="I553">SUM(IF("155"&amp;C553=KHC&amp;MH,SL))</f>
        <v>295</v>
      </c>
      <c r="J553" s="25">
        <f t="array" ref="J553">SUM(IF("155"&amp;C553=KHC&amp;MH,TH))</f>
        <v>3219252</v>
      </c>
      <c r="K553" s="8">
        <f t="shared" si="55"/>
        <v>0</v>
      </c>
      <c r="L553" s="8">
        <f t="shared" si="56"/>
        <v>0</v>
      </c>
      <c r="M553" s="293"/>
    </row>
    <row r="554" spans="1:13" ht="19.5" customHeight="1">
      <c r="A554" s="293" t="str">
        <f t="shared" si="53"/>
        <v>TP</v>
      </c>
      <c r="B554" s="305">
        <f t="shared" si="54"/>
        <v>210</v>
      </c>
      <c r="C554" s="189" t="s">
        <v>1221</v>
      </c>
      <c r="D554" s="304" t="s">
        <v>544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3896908</v>
      </c>
      <c r="I554" s="25">
        <f t="array" ref="I554">SUM(IF("155"&amp;C554=KHC&amp;MH,SL))</f>
        <v>425</v>
      </c>
      <c r="J554" s="25">
        <f t="array" ref="J554">SUM(IF("155"&amp;C554=KHC&amp;MH,TH))</f>
        <v>3896908</v>
      </c>
      <c r="K554" s="8">
        <f t="shared" si="55"/>
        <v>0</v>
      </c>
      <c r="L554" s="8">
        <f t="shared" si="56"/>
        <v>0</v>
      </c>
      <c r="M554" s="293"/>
    </row>
    <row r="555" spans="1:13" ht="19.5" customHeight="1">
      <c r="A555" s="293" t="str">
        <f t="shared" si="53"/>
        <v>TP</v>
      </c>
      <c r="B555" s="305">
        <f t="shared" si="54"/>
        <v>211</v>
      </c>
      <c r="C555" s="189" t="s">
        <v>1207</v>
      </c>
      <c r="D555" s="304" t="s">
        <v>544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3664608</v>
      </c>
      <c r="I555" s="25">
        <f t="array" ref="I555">SUM(IF("155"&amp;C555=KHC&amp;MH,SL))</f>
        <v>200</v>
      </c>
      <c r="J555" s="25">
        <f t="array" ref="J555">SUM(IF("155"&amp;C555=KHC&amp;MH,TH))</f>
        <v>3664608</v>
      </c>
      <c r="K555" s="8">
        <f t="shared" si="55"/>
        <v>0</v>
      </c>
      <c r="L555" s="8">
        <f t="shared" si="56"/>
        <v>0</v>
      </c>
      <c r="M555" s="293"/>
    </row>
    <row r="556" spans="1:13" ht="19.5" customHeight="1">
      <c r="A556" s="293" t="str">
        <f t="shared" si="53"/>
        <v>TP</v>
      </c>
      <c r="B556" s="305">
        <f t="shared" si="54"/>
        <v>212</v>
      </c>
      <c r="C556" s="192" t="s">
        <v>1183</v>
      </c>
      <c r="D556" s="304" t="s">
        <v>544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9636984</v>
      </c>
      <c r="I556" s="25">
        <f t="array" ref="I556">SUM(IF("155"&amp;C556=KHC&amp;MH,SL))</f>
        <v>450</v>
      </c>
      <c r="J556" s="25">
        <f t="array" ref="J556">SUM(IF("155"&amp;C556=KHC&amp;MH,TH))</f>
        <v>9636984</v>
      </c>
      <c r="K556" s="8">
        <f t="shared" si="55"/>
        <v>0</v>
      </c>
      <c r="L556" s="8">
        <f t="shared" si="56"/>
        <v>0</v>
      </c>
      <c r="M556" s="293"/>
    </row>
    <row r="557" spans="1:13" ht="19.5" customHeight="1">
      <c r="A557" s="293" t="str">
        <f t="shared" si="53"/>
        <v>TP</v>
      </c>
      <c r="B557" s="305">
        <f t="shared" si="54"/>
        <v>213</v>
      </c>
      <c r="C557" s="189" t="s">
        <v>977</v>
      </c>
      <c r="D557" s="304" t="s">
        <v>544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6132636</v>
      </c>
      <c r="I557" s="25">
        <f t="array" ref="I557">SUM(IF("155"&amp;C557=KHC&amp;MH,SL))</f>
        <v>933</v>
      </c>
      <c r="J557" s="25">
        <f t="array" ref="J557">SUM(IF("155"&amp;C557=KHC&amp;MH,TH))</f>
        <v>6132636</v>
      </c>
      <c r="K557" s="8">
        <f t="shared" si="55"/>
        <v>0</v>
      </c>
      <c r="L557" s="8">
        <f t="shared" si="56"/>
        <v>0</v>
      </c>
      <c r="M557" s="293"/>
    </row>
    <row r="558" spans="1:13" ht="19.5" customHeight="1">
      <c r="A558" s="293" t="str">
        <f t="shared" si="53"/>
        <v>TP</v>
      </c>
      <c r="B558" s="305">
        <f t="shared" si="54"/>
        <v>214</v>
      </c>
      <c r="C558" s="192" t="s">
        <v>1114</v>
      </c>
      <c r="D558" s="304" t="s">
        <v>544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67521565</v>
      </c>
      <c r="I558" s="25">
        <f t="array" ref="I558">SUM(IF("155"&amp;C558=KHC&amp;MH,SL))</f>
        <v>5085</v>
      </c>
      <c r="J558" s="25">
        <f t="array" ref="J558">SUM(IF("155"&amp;C558=KHC&amp;MH,TH))</f>
        <v>67521565</v>
      </c>
      <c r="K558" s="8">
        <f t="shared" si="55"/>
        <v>0</v>
      </c>
      <c r="L558" s="8">
        <f t="shared" si="56"/>
        <v>0</v>
      </c>
      <c r="M558" s="293"/>
    </row>
    <row r="559" spans="1:13" ht="19.5" customHeight="1">
      <c r="A559" s="293" t="str">
        <f t="shared" si="53"/>
        <v>TP</v>
      </c>
      <c r="B559" s="305">
        <f t="shared" si="54"/>
        <v>215</v>
      </c>
      <c r="C559" s="189" t="s">
        <v>1209</v>
      </c>
      <c r="D559" s="304" t="s">
        <v>544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3163234</v>
      </c>
      <c r="I559" s="25">
        <f t="array" ref="I559">SUM(IF("155"&amp;C559=KHC&amp;MH,SL))</f>
        <v>840</v>
      </c>
      <c r="J559" s="25">
        <f t="array" ref="J559">SUM(IF("155"&amp;C559=KHC&amp;MH,TH))</f>
        <v>3163234</v>
      </c>
      <c r="K559" s="8">
        <f t="shared" si="55"/>
        <v>0</v>
      </c>
      <c r="L559" s="8">
        <f t="shared" si="56"/>
        <v>0</v>
      </c>
      <c r="M559" s="293"/>
    </row>
    <row r="560" spans="1:13" ht="19.5" customHeight="1">
      <c r="A560" s="293" t="str">
        <f t="shared" si="53"/>
        <v>TP</v>
      </c>
      <c r="B560" s="305">
        <f t="shared" si="54"/>
        <v>216</v>
      </c>
      <c r="C560" s="192" t="s">
        <v>1186</v>
      </c>
      <c r="D560" s="304" t="s">
        <v>544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25232136</v>
      </c>
      <c r="I560" s="25">
        <f t="array" ref="I560">SUM(IF("155"&amp;C560=KHC&amp;MH,SL))</f>
        <v>1457</v>
      </c>
      <c r="J560" s="25">
        <f t="array" ref="J560">SUM(IF("155"&amp;C560=KHC&amp;MH,TH))</f>
        <v>25232136</v>
      </c>
      <c r="K560" s="8">
        <f t="shared" si="55"/>
        <v>0</v>
      </c>
      <c r="L560" s="8">
        <f t="shared" si="56"/>
        <v>0</v>
      </c>
      <c r="M560" s="293"/>
    </row>
    <row r="561" spans="1:13" ht="19.5" customHeight="1">
      <c r="A561" s="293" t="str">
        <f t="shared" si="53"/>
        <v>TP</v>
      </c>
      <c r="B561" s="305">
        <f t="shared" si="54"/>
        <v>217</v>
      </c>
      <c r="C561" s="192" t="s">
        <v>1233</v>
      </c>
      <c r="D561" s="304" t="s">
        <v>544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6579905</v>
      </c>
      <c r="I561" s="25">
        <f t="array" ref="I561">SUM(IF("155"&amp;C561=KHC&amp;MH,SL))</f>
        <v>300</v>
      </c>
      <c r="J561" s="25">
        <f t="array" ref="J561">SUM(IF("155"&amp;C561=KHC&amp;MH,TH))</f>
        <v>6579905</v>
      </c>
      <c r="K561" s="8">
        <f t="shared" si="55"/>
        <v>0</v>
      </c>
      <c r="L561" s="8">
        <f t="shared" si="56"/>
        <v>0</v>
      </c>
      <c r="M561" s="293"/>
    </row>
    <row r="562" spans="1:13" ht="19.5" customHeight="1">
      <c r="A562" s="293" t="str">
        <f t="shared" si="53"/>
        <v>TP</v>
      </c>
      <c r="B562" s="305">
        <f t="shared" si="54"/>
        <v>218</v>
      </c>
      <c r="C562" s="192" t="s">
        <v>1185</v>
      </c>
      <c r="D562" s="304" t="s">
        <v>544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17252485</v>
      </c>
      <c r="I562" s="25">
        <f t="array" ref="I562">SUM(IF("155"&amp;C562=KHC&amp;MH,SL))</f>
        <v>850</v>
      </c>
      <c r="J562" s="25">
        <f t="array" ref="J562">SUM(IF("155"&amp;C562=KHC&amp;MH,TH))</f>
        <v>17252485</v>
      </c>
      <c r="K562" s="8">
        <f t="shared" si="55"/>
        <v>0</v>
      </c>
      <c r="L562" s="8">
        <f t="shared" si="56"/>
        <v>0</v>
      </c>
      <c r="M562" s="293"/>
    </row>
    <row r="563" spans="1:13" ht="19.5" customHeight="1">
      <c r="A563" s="293" t="str">
        <f t="shared" si="53"/>
        <v>TP</v>
      </c>
      <c r="B563" s="305">
        <f t="shared" si="54"/>
        <v>219</v>
      </c>
      <c r="C563" s="192" t="s">
        <v>1139</v>
      </c>
      <c r="D563" s="304" t="s">
        <v>544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7925045</v>
      </c>
      <c r="I563" s="25">
        <f t="array" ref="I563">SUM(IF("155"&amp;C563=KHC&amp;MH,SL))</f>
        <v>515</v>
      </c>
      <c r="J563" s="25">
        <f t="array" ref="J563">SUM(IF("155"&amp;C563=KHC&amp;MH,TH))</f>
        <v>7925045</v>
      </c>
      <c r="K563" s="8">
        <f t="shared" si="55"/>
        <v>0</v>
      </c>
      <c r="L563" s="8">
        <f t="shared" si="56"/>
        <v>0</v>
      </c>
      <c r="M563" s="293"/>
    </row>
    <row r="564" spans="1:13" ht="19.5" customHeight="1">
      <c r="A564" s="293" t="str">
        <f t="shared" si="53"/>
        <v>TP</v>
      </c>
      <c r="B564" s="305">
        <f t="shared" si="54"/>
        <v>220</v>
      </c>
      <c r="C564" s="192" t="s">
        <v>1115</v>
      </c>
      <c r="D564" s="304" t="s">
        <v>544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1899905</v>
      </c>
      <c r="I564" s="25">
        <f t="array" ref="I564">SUM(IF("155"&amp;C564=KHC&amp;MH,SL))</f>
        <v>97</v>
      </c>
      <c r="J564" s="25">
        <f t="array" ref="J564">SUM(IF("155"&amp;C564=KHC&amp;MH,TH))</f>
        <v>1899905</v>
      </c>
      <c r="K564" s="8">
        <f t="shared" si="55"/>
        <v>0</v>
      </c>
      <c r="L564" s="8">
        <f t="shared" si="56"/>
        <v>0</v>
      </c>
      <c r="M564" s="293"/>
    </row>
    <row r="565" spans="1:13" ht="19.5" customHeight="1">
      <c r="A565" s="293" t="str">
        <f t="shared" si="53"/>
        <v>TP</v>
      </c>
      <c r="B565" s="305">
        <f t="shared" si="54"/>
        <v>221</v>
      </c>
      <c r="C565" s="192" t="s">
        <v>1116</v>
      </c>
      <c r="D565" s="304" t="s">
        <v>544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7747608</v>
      </c>
      <c r="I565" s="25">
        <f t="array" ref="I565">SUM(IF("155"&amp;C565=KHC&amp;MH,SL))</f>
        <v>376</v>
      </c>
      <c r="J565" s="25">
        <f t="array" ref="J565">SUM(IF("155"&amp;C565=KHC&amp;MH,TH))</f>
        <v>7747608</v>
      </c>
      <c r="K565" s="8">
        <f t="shared" si="55"/>
        <v>0</v>
      </c>
      <c r="L565" s="8">
        <f t="shared" si="56"/>
        <v>0</v>
      </c>
      <c r="M565" s="293"/>
    </row>
    <row r="566" spans="1:13" ht="19.5" customHeight="1">
      <c r="A566" s="293" t="str">
        <f t="shared" si="53"/>
        <v>TP</v>
      </c>
      <c r="B566" s="305">
        <f t="shared" si="54"/>
        <v>222</v>
      </c>
      <c r="C566" s="192" t="s">
        <v>1158</v>
      </c>
      <c r="D566" s="304" t="s">
        <v>544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3"/>
    </row>
    <row r="567" spans="1:13" ht="19.5" customHeight="1">
      <c r="A567" s="293" t="str">
        <f t="shared" si="53"/>
        <v>TP</v>
      </c>
      <c r="B567" s="305">
        <f t="shared" si="54"/>
        <v>223</v>
      </c>
      <c r="C567" s="192" t="s">
        <v>1225</v>
      </c>
      <c r="D567" s="304" t="s">
        <v>544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890073</v>
      </c>
      <c r="I567" s="25">
        <f t="array" ref="I567">SUM(IF("155"&amp;C567=KHC&amp;MH,SL))</f>
        <v>64</v>
      </c>
      <c r="J567" s="25">
        <f t="array" ref="J567">SUM(IF("155"&amp;C567=KHC&amp;MH,TH))</f>
        <v>890073</v>
      </c>
      <c r="K567" s="8">
        <f t="shared" si="55"/>
        <v>0</v>
      </c>
      <c r="L567" s="8">
        <f t="shared" si="56"/>
        <v>0</v>
      </c>
      <c r="M567" s="293"/>
    </row>
    <row r="568" spans="1:13" ht="19.5" customHeight="1">
      <c r="A568" s="293" t="str">
        <f t="shared" si="53"/>
        <v>TP</v>
      </c>
      <c r="B568" s="305">
        <f t="shared" si="54"/>
        <v>224</v>
      </c>
      <c r="C568" s="192" t="s">
        <v>1739</v>
      </c>
      <c r="D568" s="304" t="s">
        <v>544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3"/>
    </row>
    <row r="569" spans="1:13" ht="19.5" customHeight="1">
      <c r="A569" s="293" t="str">
        <f t="shared" si="53"/>
        <v>TP</v>
      </c>
      <c r="B569" s="305">
        <f t="shared" si="54"/>
        <v>225</v>
      </c>
      <c r="C569" s="192" t="s">
        <v>551</v>
      </c>
      <c r="D569" s="304" t="s">
        <v>544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22344692</v>
      </c>
      <c r="I569" s="25">
        <f t="array" ref="I569">SUM(IF("155"&amp;C569=KHC&amp;MH,SL))</f>
        <v>4700</v>
      </c>
      <c r="J569" s="25">
        <f t="array" ref="J569">SUM(IF("155"&amp;C569=KHC&amp;MH,TH))</f>
        <v>22344692</v>
      </c>
      <c r="K569" s="8">
        <f t="shared" si="55"/>
        <v>0</v>
      </c>
      <c r="L569" s="8">
        <f t="shared" si="56"/>
        <v>0</v>
      </c>
      <c r="M569" s="293"/>
    </row>
    <row r="570" spans="1:13" ht="19.5" customHeight="1">
      <c r="A570" s="293" t="str">
        <f t="shared" si="53"/>
        <v>TP</v>
      </c>
      <c r="B570" s="305">
        <f t="shared" si="54"/>
        <v>226</v>
      </c>
      <c r="C570" s="192" t="s">
        <v>1214</v>
      </c>
      <c r="D570" s="304" t="s">
        <v>544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1351168</v>
      </c>
      <c r="I570" s="25">
        <f t="array" ref="I570">SUM(IF("155"&amp;C570=KHC&amp;MH,SL))</f>
        <v>85</v>
      </c>
      <c r="J570" s="25">
        <f t="array" ref="J570">SUM(IF("155"&amp;C570=KHC&amp;MH,TH))</f>
        <v>1351168</v>
      </c>
      <c r="K570" s="8">
        <f t="shared" si="55"/>
        <v>0</v>
      </c>
      <c r="L570" s="8">
        <f t="shared" si="56"/>
        <v>0</v>
      </c>
      <c r="M570" s="293"/>
    </row>
    <row r="571" spans="1:13" ht="19.5" customHeight="1">
      <c r="A571" s="293" t="str">
        <f t="shared" si="53"/>
        <v>TP</v>
      </c>
      <c r="B571" s="305">
        <f t="shared" si="54"/>
        <v>227</v>
      </c>
      <c r="C571" s="192" t="s">
        <v>925</v>
      </c>
      <c r="D571" s="304" t="s">
        <v>544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17924852</v>
      </c>
      <c r="I571" s="25">
        <f t="array" ref="I571">SUM(IF("155"&amp;C571=KHC&amp;MH,SL))</f>
        <v>1202</v>
      </c>
      <c r="J571" s="25">
        <f t="array" ref="J571">SUM(IF("155"&amp;C571=KHC&amp;MH,TH))</f>
        <v>17924852</v>
      </c>
      <c r="K571" s="8">
        <f t="shared" si="55"/>
        <v>0</v>
      </c>
      <c r="L571" s="8">
        <f t="shared" si="56"/>
        <v>0</v>
      </c>
      <c r="M571" s="293"/>
    </row>
    <row r="572" spans="1:13" ht="19.5" customHeight="1">
      <c r="A572" s="293" t="str">
        <f t="shared" si="53"/>
        <v>TP</v>
      </c>
      <c r="B572" s="305">
        <f t="shared" si="54"/>
        <v>228</v>
      </c>
      <c r="C572" s="189" t="s">
        <v>1563</v>
      </c>
      <c r="D572" s="304" t="s">
        <v>544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2451445</v>
      </c>
      <c r="I572" s="25">
        <f t="array" ref="I572">SUM(IF("155"&amp;C572=KHC&amp;MH,SL))</f>
        <v>146</v>
      </c>
      <c r="J572" s="25">
        <f t="array" ref="J572">SUM(IF("155"&amp;C572=KHC&amp;MH,TH))</f>
        <v>2451445</v>
      </c>
      <c r="K572" s="8">
        <f t="shared" si="55"/>
        <v>0</v>
      </c>
      <c r="L572" s="8">
        <f t="shared" si="56"/>
        <v>0</v>
      </c>
      <c r="M572" s="293"/>
    </row>
    <row r="573" spans="1:13" ht="19.5" customHeight="1">
      <c r="A573" s="293" t="str">
        <f t="shared" si="53"/>
        <v>TP</v>
      </c>
      <c r="B573" s="305">
        <f t="shared" si="54"/>
        <v>229</v>
      </c>
      <c r="C573" s="192" t="s">
        <v>935</v>
      </c>
      <c r="D573" s="304" t="s">
        <v>544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3643913</v>
      </c>
      <c r="I573" s="25">
        <f t="array" ref="I573">SUM(IF("155"&amp;C573=KHC&amp;MH,SL))</f>
        <v>498</v>
      </c>
      <c r="J573" s="25">
        <f t="array" ref="J573">SUM(IF("155"&amp;C573=KHC&amp;MH,TH))</f>
        <v>3643913</v>
      </c>
      <c r="K573" s="8">
        <f t="shared" si="55"/>
        <v>0</v>
      </c>
      <c r="L573" s="8">
        <f t="shared" si="56"/>
        <v>0</v>
      </c>
      <c r="M573" s="293"/>
    </row>
    <row r="574" spans="1:13" ht="19.5" customHeight="1">
      <c r="A574" s="293" t="str">
        <f t="shared" ref="A574:A586" si="57">IF(B574&lt;&gt;"","TP","")</f>
        <v>TP</v>
      </c>
      <c r="B574" s="305">
        <f t="shared" ref="B574:B586" si="58">IF(C574&lt;&gt;"",B573+1,"")</f>
        <v>230</v>
      </c>
      <c r="C574" s="192" t="s">
        <v>1098</v>
      </c>
      <c r="D574" s="304" t="s">
        <v>544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2445393</v>
      </c>
      <c r="I574" s="25">
        <f t="array" ref="I574">SUM(IF("155"&amp;C574=KHC&amp;MH,SL))</f>
        <v>200</v>
      </c>
      <c r="J574" s="25">
        <f t="array" ref="J574">SUM(IF("155"&amp;C574=KHC&amp;MH,TH))</f>
        <v>2445393</v>
      </c>
      <c r="K574" s="8">
        <f t="shared" si="55"/>
        <v>0</v>
      </c>
      <c r="L574" s="8">
        <f t="shared" si="56"/>
        <v>0</v>
      </c>
      <c r="M574" s="293"/>
    </row>
    <row r="575" spans="1:13" ht="19.5" customHeight="1">
      <c r="A575" s="293" t="str">
        <f t="shared" si="57"/>
        <v>TP</v>
      </c>
      <c r="B575" s="305">
        <f t="shared" si="58"/>
        <v>231</v>
      </c>
      <c r="C575" s="192" t="s">
        <v>1082</v>
      </c>
      <c r="D575" s="304" t="s">
        <v>544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2445393</v>
      </c>
      <c r="I575" s="25">
        <f t="array" ref="I575">SUM(IF("155"&amp;C575=KHC&amp;MH,SL))</f>
        <v>200</v>
      </c>
      <c r="J575" s="25">
        <f t="array" ref="J575">SUM(IF("155"&amp;C575=KHC&amp;MH,TH))</f>
        <v>2445393</v>
      </c>
      <c r="K575" s="8">
        <f t="shared" si="55"/>
        <v>0</v>
      </c>
      <c r="L575" s="8">
        <f t="shared" si="56"/>
        <v>0</v>
      </c>
      <c r="M575" s="293"/>
    </row>
    <row r="576" spans="1:13" ht="19.5" customHeight="1">
      <c r="A576" s="293" t="str">
        <f t="shared" si="57"/>
        <v>TP</v>
      </c>
      <c r="B576" s="305">
        <f t="shared" si="58"/>
        <v>232</v>
      </c>
      <c r="C576" s="192" t="s">
        <v>1077</v>
      </c>
      <c r="D576" s="304" t="s">
        <v>544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1210446</v>
      </c>
      <c r="I576" s="25">
        <f t="array" ref="I576">SUM(IF("155"&amp;C576=KHC&amp;MH,SL))</f>
        <v>100</v>
      </c>
      <c r="J576" s="25">
        <f t="array" ref="J576">SUM(IF("155"&amp;C576=KHC&amp;MH,TH))</f>
        <v>1210446</v>
      </c>
      <c r="K576" s="8">
        <f t="shared" si="55"/>
        <v>0</v>
      </c>
      <c r="L576" s="8">
        <f t="shared" si="56"/>
        <v>0</v>
      </c>
      <c r="M576" s="293"/>
    </row>
    <row r="577" spans="1:13" ht="19.5" customHeight="1">
      <c r="A577" s="293" t="str">
        <f t="shared" si="57"/>
        <v>TP</v>
      </c>
      <c r="B577" s="305">
        <f t="shared" si="58"/>
        <v>233</v>
      </c>
      <c r="C577" s="192" t="s">
        <v>1083</v>
      </c>
      <c r="D577" s="304" t="s">
        <v>544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1193646</v>
      </c>
      <c r="I577" s="25">
        <f t="array" ref="I577">SUM(IF("155"&amp;C577=KHC&amp;MH,SL))</f>
        <v>100</v>
      </c>
      <c r="J577" s="25">
        <f t="array" ref="J577">SUM(IF("155"&amp;C577=KHC&amp;MH,TH))</f>
        <v>1193646</v>
      </c>
      <c r="K577" s="8">
        <f t="shared" si="55"/>
        <v>0</v>
      </c>
      <c r="L577" s="8">
        <f t="shared" si="56"/>
        <v>0</v>
      </c>
      <c r="M577" s="293"/>
    </row>
    <row r="578" spans="1:13" ht="19.5" customHeight="1">
      <c r="A578" s="293" t="str">
        <f t="shared" si="57"/>
        <v>TP</v>
      </c>
      <c r="B578" s="305">
        <f t="shared" si="58"/>
        <v>234</v>
      </c>
      <c r="C578" s="192" t="s">
        <v>1080</v>
      </c>
      <c r="D578" s="304" t="s">
        <v>544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1210446</v>
      </c>
      <c r="I578" s="25">
        <f t="array" ref="I578">SUM(IF("155"&amp;C578=KHC&amp;MH,SL))</f>
        <v>100</v>
      </c>
      <c r="J578" s="25">
        <f t="array" ref="J578">SUM(IF("155"&amp;C578=KHC&amp;MH,TH))</f>
        <v>1210446</v>
      </c>
      <c r="K578" s="8">
        <f t="shared" si="55"/>
        <v>0</v>
      </c>
      <c r="L578" s="8">
        <f t="shared" si="56"/>
        <v>0</v>
      </c>
      <c r="M578" s="293"/>
    </row>
    <row r="579" spans="1:13" ht="19.5" customHeight="1">
      <c r="A579" s="293" t="str">
        <f t="shared" si="57"/>
        <v>TP</v>
      </c>
      <c r="B579" s="305">
        <f t="shared" si="58"/>
        <v>235</v>
      </c>
      <c r="C579" s="192" t="s">
        <v>1084</v>
      </c>
      <c r="D579" s="304" t="s">
        <v>544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2433793</v>
      </c>
      <c r="I579" s="25">
        <f t="array" ref="I579">SUM(IF("155"&amp;C579=KHC&amp;MH,SL))</f>
        <v>200</v>
      </c>
      <c r="J579" s="25">
        <f t="array" ref="J579">SUM(IF("155"&amp;C579=KHC&amp;MH,TH))</f>
        <v>2433793</v>
      </c>
      <c r="K579" s="8">
        <f t="shared" si="55"/>
        <v>0</v>
      </c>
      <c r="L579" s="8">
        <f t="shared" si="56"/>
        <v>0</v>
      </c>
      <c r="M579" s="293"/>
    </row>
    <row r="580" spans="1:13" ht="19.5" customHeight="1">
      <c r="A580" s="293" t="str">
        <f t="shared" si="57"/>
        <v>TP</v>
      </c>
      <c r="B580" s="305">
        <f t="shared" si="58"/>
        <v>236</v>
      </c>
      <c r="C580" s="192" t="s">
        <v>1081</v>
      </c>
      <c r="D580" s="304" t="s">
        <v>544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1210446</v>
      </c>
      <c r="I580" s="25">
        <f t="array" ref="I580">SUM(IF("155"&amp;C580=KHC&amp;MH,SL))</f>
        <v>100</v>
      </c>
      <c r="J580" s="25">
        <f t="array" ref="J580">SUM(IF("155"&amp;C580=KHC&amp;MH,TH))</f>
        <v>1210446</v>
      </c>
      <c r="K580" s="8">
        <f t="shared" si="55"/>
        <v>0</v>
      </c>
      <c r="L580" s="8">
        <f t="shared" si="56"/>
        <v>0</v>
      </c>
      <c r="M580" s="293"/>
    </row>
    <row r="581" spans="1:13" ht="19.5" customHeight="1">
      <c r="A581" s="293" t="str">
        <f t="shared" si="57"/>
        <v>TP</v>
      </c>
      <c r="B581" s="305">
        <f t="shared" si="58"/>
        <v>237</v>
      </c>
      <c r="C581" s="192" t="s">
        <v>1199</v>
      </c>
      <c r="D581" s="304" t="s">
        <v>544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1781299</v>
      </c>
      <c r="I581" s="25">
        <f t="array" ref="I581">SUM(IF("155"&amp;C581=KHC&amp;MH,SL))</f>
        <v>1200</v>
      </c>
      <c r="J581" s="25">
        <f t="array" ref="J581">SUM(IF("155"&amp;C581=KHC&amp;MH,TH))</f>
        <v>1781299</v>
      </c>
      <c r="K581" s="8">
        <f t="shared" si="55"/>
        <v>0</v>
      </c>
      <c r="L581" s="8">
        <f t="shared" si="56"/>
        <v>0</v>
      </c>
      <c r="M581" s="293"/>
    </row>
    <row r="582" spans="1:13" ht="19.5" customHeight="1">
      <c r="A582" s="293" t="str">
        <f t="shared" si="57"/>
        <v>TP</v>
      </c>
      <c r="B582" s="305">
        <f t="shared" si="58"/>
        <v>238</v>
      </c>
      <c r="C582" s="189" t="s">
        <v>1216</v>
      </c>
      <c r="D582" s="304" t="s">
        <v>544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1968028</v>
      </c>
      <c r="I582" s="25">
        <f t="array" ref="I582">SUM(IF("155"&amp;C582=KHC&amp;MH,SL))</f>
        <v>1500</v>
      </c>
      <c r="J582" s="25">
        <f t="array" ref="J582">SUM(IF("155"&amp;C582=KHC&amp;MH,TH))</f>
        <v>1968028</v>
      </c>
      <c r="K582" s="8">
        <f t="shared" si="55"/>
        <v>0</v>
      </c>
      <c r="L582" s="8">
        <f t="shared" si="56"/>
        <v>0</v>
      </c>
      <c r="M582" s="293"/>
    </row>
    <row r="583" spans="1:13" ht="19.5" customHeight="1">
      <c r="A583" s="293" t="str">
        <f t="shared" si="57"/>
        <v>TP</v>
      </c>
      <c r="B583" s="305">
        <f t="shared" si="58"/>
        <v>239</v>
      </c>
      <c r="C583" s="192" t="s">
        <v>1057</v>
      </c>
      <c r="D583" s="304" t="s">
        <v>544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3"/>
    </row>
    <row r="584" spans="1:13" ht="19.5" customHeight="1">
      <c r="A584" s="293" t="str">
        <f t="shared" si="57"/>
        <v>TP</v>
      </c>
      <c r="B584" s="305">
        <f t="shared" si="58"/>
        <v>240</v>
      </c>
      <c r="C584" s="192" t="s">
        <v>1056</v>
      </c>
      <c r="D584" s="304" t="s">
        <v>544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3"/>
    </row>
    <row r="585" spans="1:13" ht="19.5" customHeight="1">
      <c r="A585" s="293" t="str">
        <f t="shared" si="57"/>
        <v>TP</v>
      </c>
      <c r="B585" s="305">
        <f t="shared" si="58"/>
        <v>241</v>
      </c>
      <c r="C585" s="192" t="s">
        <v>1053</v>
      </c>
      <c r="D585" s="304" t="s">
        <v>544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3"/>
    </row>
    <row r="586" spans="1:13" ht="19.5" customHeight="1">
      <c r="A586" s="293" t="str">
        <f t="shared" si="57"/>
        <v>TP</v>
      </c>
      <c r="B586" s="305">
        <f t="shared" si="58"/>
        <v>242</v>
      </c>
      <c r="C586" s="192" t="s">
        <v>1055</v>
      </c>
      <c r="D586" s="304" t="s">
        <v>544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3"/>
    </row>
    <row r="587" spans="1:13" ht="19.5" customHeight="1">
      <c r="A587" s="293" t="str">
        <f t="shared" ref="A587:A589" si="59">IF(B587&lt;&gt;"","TP","")</f>
        <v/>
      </c>
      <c r="B587" s="305" t="str">
        <f>IF(C587&lt;&gt;"",#REF!+1,"")</f>
        <v/>
      </c>
      <c r="C587" s="307"/>
      <c r="D587" s="302"/>
      <c r="E587" s="8"/>
      <c r="F587" s="8"/>
      <c r="G587" s="303"/>
      <c r="H587" s="303"/>
      <c r="I587" s="303"/>
      <c r="J587" s="303"/>
      <c r="K587" s="303"/>
      <c r="L587" s="303"/>
      <c r="M587" s="293"/>
    </row>
    <row r="588" spans="1:13" ht="19.5" customHeight="1">
      <c r="A588" s="293" t="str">
        <f t="shared" si="59"/>
        <v/>
      </c>
      <c r="B588" s="292"/>
      <c r="C588" s="301" t="s">
        <v>217</v>
      </c>
      <c r="D588" s="292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1893125133</v>
      </c>
      <c r="I588" s="13">
        <f t="shared" si="60"/>
        <v>213740</v>
      </c>
      <c r="J588" s="13">
        <f t="shared" si="60"/>
        <v>1893125133</v>
      </c>
      <c r="K588" s="13">
        <f t="shared" si="60"/>
        <v>0</v>
      </c>
      <c r="L588" s="13">
        <f t="shared" si="60"/>
        <v>0</v>
      </c>
      <c r="M588" s="293"/>
    </row>
    <row r="589" spans="1:13" ht="18.75" customHeight="1">
      <c r="A589" s="293" t="str">
        <f t="shared" si="59"/>
        <v/>
      </c>
      <c r="B589" s="482"/>
      <c r="C589" s="482"/>
      <c r="D589" s="481"/>
      <c r="E589" s="483"/>
      <c r="F589" s="483">
        <f>F588-CDPS!C24</f>
        <v>0</v>
      </c>
      <c r="G589" s="483"/>
      <c r="H589" s="483">
        <f>H588-CDPS!E24</f>
        <v>0</v>
      </c>
      <c r="I589" s="483"/>
      <c r="J589" s="483">
        <f>J588-CDPS!F24</f>
        <v>0</v>
      </c>
      <c r="K589" s="483"/>
      <c r="L589" s="483">
        <f>L588-CDPS!G24</f>
        <v>0</v>
      </c>
      <c r="M589" s="306"/>
    </row>
    <row r="590" spans="1:13" ht="18.75" customHeight="1"/>
    <row r="591" spans="1:13" ht="19.5" customHeight="1"/>
    <row r="592" spans="1:13" ht="19.5" customHeight="1">
      <c r="C592" s="1015"/>
      <c r="D592" s="1015"/>
      <c r="E592" s="1015"/>
      <c r="F592" s="309"/>
      <c r="G592" s="309"/>
      <c r="H592" s="309"/>
      <c r="I592" s="309"/>
      <c r="J592" s="1015" t="s">
        <v>218</v>
      </c>
      <c r="K592" s="1015"/>
      <c r="L592" s="1015"/>
    </row>
    <row r="593" spans="3:12" ht="19.5" customHeight="1">
      <c r="C593" s="310" t="s">
        <v>11</v>
      </c>
      <c r="D593" s="310"/>
      <c r="E593" s="310"/>
      <c r="F593" s="1015" t="s">
        <v>12</v>
      </c>
      <c r="G593" s="1015"/>
      <c r="H593" s="1015"/>
      <c r="I593" s="309"/>
      <c r="J593" s="1015" t="s">
        <v>110</v>
      </c>
      <c r="K593" s="1015"/>
      <c r="L593" s="1015"/>
    </row>
    <row r="594" spans="3:12" ht="19.5" customHeight="1">
      <c r="C594" s="310" t="s">
        <v>13</v>
      </c>
      <c r="D594" s="310" t="s">
        <v>219</v>
      </c>
      <c r="E594" s="310"/>
      <c r="F594" s="1015" t="s">
        <v>13</v>
      </c>
      <c r="G594" s="1015"/>
      <c r="H594" s="1015"/>
      <c r="I594" s="288"/>
      <c r="J594" s="1015" t="s">
        <v>138</v>
      </c>
      <c r="K594" s="1015"/>
      <c r="L594" s="1015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B6:L6"/>
    <mergeCell ref="H1:L1"/>
    <mergeCell ref="H2:L2"/>
    <mergeCell ref="H3:L3"/>
    <mergeCell ref="B4:L4"/>
    <mergeCell ref="B5:L5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594:H594"/>
    <mergeCell ref="J594:L594"/>
    <mergeCell ref="C592:E592"/>
    <mergeCell ref="J592:L592"/>
    <mergeCell ref="F593:H593"/>
    <mergeCell ref="J593:L593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2" customWidth="1"/>
    <col min="2" max="2" width="7" style="262" customWidth="1"/>
    <col min="3" max="3" width="9.140625" style="262"/>
    <col min="4" max="4" width="33.85546875" style="262" customWidth="1"/>
    <col min="5" max="5" width="6.5703125" style="262" customWidth="1"/>
    <col min="6" max="8" width="10" style="262" customWidth="1"/>
    <col min="9" max="9" width="13.7109375" style="262" customWidth="1"/>
    <col min="10" max="10" width="10" style="262" customWidth="1"/>
    <col min="11" max="11" width="8.7109375" style="262" customWidth="1"/>
    <col min="12" max="12" width="15" style="262" customWidth="1"/>
    <col min="13" max="13" width="10" style="262" customWidth="1"/>
    <col min="14" max="14" width="9.42578125" style="262" customWidth="1"/>
    <col min="15" max="16384" width="9.140625" style="262"/>
  </cols>
  <sheetData>
    <row r="2" spans="1:14">
      <c r="A2" s="261" t="s">
        <v>148</v>
      </c>
      <c r="C2" s="263"/>
      <c r="F2" s="264"/>
      <c r="G2" s="264"/>
      <c r="H2" s="264"/>
      <c r="I2" s="264"/>
      <c r="J2" s="264"/>
      <c r="K2" s="264" t="s">
        <v>189</v>
      </c>
      <c r="L2" s="264"/>
      <c r="M2" s="264"/>
      <c r="N2" s="264"/>
    </row>
    <row r="3" spans="1:14">
      <c r="A3" s="261" t="s">
        <v>150</v>
      </c>
      <c r="C3" s="263"/>
      <c r="F3" s="265"/>
      <c r="G3" s="265"/>
      <c r="H3" s="265"/>
      <c r="I3" s="265"/>
      <c r="J3" s="265"/>
      <c r="K3" s="265" t="s">
        <v>162</v>
      </c>
      <c r="L3" s="265"/>
      <c r="M3" s="265"/>
      <c r="N3" s="265"/>
    </row>
    <row r="4" spans="1:14">
      <c r="F4" s="265"/>
      <c r="G4" s="265"/>
      <c r="H4" s="265"/>
      <c r="I4" s="265"/>
      <c r="J4" s="265"/>
      <c r="K4" s="265" t="s">
        <v>163</v>
      </c>
      <c r="L4" s="265"/>
      <c r="M4" s="265"/>
      <c r="N4" s="265"/>
    </row>
    <row r="5" spans="1:14" s="266" customFormat="1" ht="23.25" customHeight="1">
      <c r="A5" s="1026" t="s">
        <v>190</v>
      </c>
      <c r="B5" s="1026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1026"/>
    </row>
    <row r="6" spans="1:14">
      <c r="A6" s="1027" t="s">
        <v>166</v>
      </c>
      <c r="B6" s="1027" t="s">
        <v>191</v>
      </c>
      <c r="C6" s="1027"/>
      <c r="D6" s="1027"/>
      <c r="E6" s="1027"/>
      <c r="F6" s="1027"/>
      <c r="G6" s="1027"/>
      <c r="H6" s="1027"/>
      <c r="I6" s="1027"/>
      <c r="J6" s="1027"/>
      <c r="K6" s="1027"/>
      <c r="L6" s="1027"/>
      <c r="M6" s="1027"/>
      <c r="N6" s="1027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9" t="s">
        <v>20</v>
      </c>
      <c r="B8" s="1030" t="s">
        <v>1</v>
      </c>
      <c r="C8" s="1031"/>
      <c r="D8" s="1029" t="s">
        <v>0</v>
      </c>
      <c r="E8" s="1029" t="s">
        <v>14</v>
      </c>
      <c r="F8" s="1034" t="s">
        <v>21</v>
      </c>
      <c r="G8" s="1034"/>
      <c r="H8" s="1034"/>
      <c r="I8" s="1034"/>
      <c r="J8" s="1034"/>
      <c r="K8" s="1034"/>
      <c r="L8" s="1034" t="s">
        <v>31</v>
      </c>
      <c r="M8" s="1034"/>
      <c r="N8" s="1034"/>
    </row>
    <row r="9" spans="1:14" ht="15.75" customHeight="1">
      <c r="A9" s="1029"/>
      <c r="B9" s="1032"/>
      <c r="C9" s="1033"/>
      <c r="D9" s="1029"/>
      <c r="E9" s="1029"/>
      <c r="F9" s="1034" t="s">
        <v>192</v>
      </c>
      <c r="G9" s="1034"/>
      <c r="H9" s="1034"/>
      <c r="I9" s="1034" t="s">
        <v>193</v>
      </c>
      <c r="J9" s="1034"/>
      <c r="K9" s="1034"/>
      <c r="L9" s="1029" t="s">
        <v>194</v>
      </c>
      <c r="M9" s="1029" t="s">
        <v>195</v>
      </c>
      <c r="N9" s="1029" t="s">
        <v>196</v>
      </c>
    </row>
    <row r="10" spans="1:14" ht="15.75" customHeight="1">
      <c r="A10" s="1029"/>
      <c r="B10" s="1036" t="s">
        <v>15</v>
      </c>
      <c r="C10" s="1036" t="s">
        <v>32</v>
      </c>
      <c r="D10" s="1029"/>
      <c r="E10" s="1029"/>
      <c r="F10" s="1038" t="s">
        <v>194</v>
      </c>
      <c r="G10" s="1038" t="s">
        <v>195</v>
      </c>
      <c r="H10" s="1038" t="s">
        <v>196</v>
      </c>
      <c r="I10" s="1038" t="s">
        <v>194</v>
      </c>
      <c r="J10" s="1038" t="s">
        <v>195</v>
      </c>
      <c r="K10" s="1038" t="s">
        <v>196</v>
      </c>
      <c r="L10" s="1035"/>
      <c r="M10" s="1035"/>
      <c r="N10" s="1035"/>
    </row>
    <row r="11" spans="1:14">
      <c r="A11" s="1029"/>
      <c r="B11" s="1037"/>
      <c r="C11" s="1037"/>
      <c r="D11" s="1029"/>
      <c r="E11" s="1029"/>
      <c r="F11" s="1039"/>
      <c r="G11" s="1039"/>
      <c r="H11" s="1039"/>
      <c r="I11" s="1039"/>
      <c r="J11" s="1039"/>
      <c r="K11" s="1039"/>
      <c r="L11" s="1035"/>
      <c r="M11" s="1035"/>
      <c r="N11" s="1035"/>
    </row>
    <row r="12" spans="1:14" s="265" customFormat="1">
      <c r="A12" s="267" t="s">
        <v>2</v>
      </c>
      <c r="B12" s="268" t="s">
        <v>3</v>
      </c>
      <c r="C12" s="267" t="s">
        <v>4</v>
      </c>
      <c r="D12" s="267" t="s">
        <v>5</v>
      </c>
      <c r="E12" s="267" t="s">
        <v>6</v>
      </c>
      <c r="F12" s="267">
        <v>1</v>
      </c>
      <c r="G12" s="267"/>
      <c r="H12" s="267"/>
      <c r="I12" s="267"/>
      <c r="J12" s="267"/>
      <c r="K12" s="267"/>
      <c r="L12" s="267"/>
      <c r="M12" s="267"/>
      <c r="N12" s="267"/>
    </row>
    <row r="13" spans="1:14">
      <c r="A13" s="269"/>
      <c r="B13" s="269"/>
      <c r="C13" s="269"/>
      <c r="D13" s="270" t="s">
        <v>7</v>
      </c>
      <c r="E13" s="269"/>
      <c r="F13" s="269"/>
      <c r="G13" s="269"/>
      <c r="H13" s="269"/>
      <c r="I13" s="269"/>
      <c r="J13" s="269"/>
      <c r="K13" s="269"/>
      <c r="L13" s="271">
        <f>CDPS!$D$40</f>
        <v>1900000000</v>
      </c>
      <c r="M13" s="269"/>
      <c r="N13" s="269"/>
    </row>
    <row r="14" spans="1:14">
      <c r="A14" s="778">
        <v>40634</v>
      </c>
      <c r="B14" s="779" t="s">
        <v>408</v>
      </c>
      <c r="C14" s="778">
        <v>40634</v>
      </c>
      <c r="D14" s="272" t="s">
        <v>539</v>
      </c>
      <c r="E14" s="779" t="s">
        <v>48</v>
      </c>
      <c r="F14" s="272"/>
      <c r="G14" s="272"/>
      <c r="H14" s="272"/>
      <c r="I14" s="349">
        <v>1700000000</v>
      </c>
      <c r="J14" s="272"/>
      <c r="K14" s="272"/>
      <c r="L14" s="782">
        <f>L13+I14-G14</f>
        <v>3600000000</v>
      </c>
      <c r="M14" s="272"/>
      <c r="N14" s="272"/>
    </row>
    <row r="15" spans="1:14">
      <c r="A15" s="778">
        <v>40634</v>
      </c>
      <c r="B15" s="779" t="s">
        <v>409</v>
      </c>
      <c r="C15" s="778">
        <v>40634</v>
      </c>
      <c r="D15" s="273" t="s">
        <v>540</v>
      </c>
      <c r="E15" s="780" t="s">
        <v>48</v>
      </c>
      <c r="F15" s="273"/>
      <c r="G15" s="273"/>
      <c r="H15" s="273"/>
      <c r="I15" s="364">
        <v>100000000</v>
      </c>
      <c r="J15" s="273"/>
      <c r="K15" s="273"/>
      <c r="L15" s="782">
        <f t="shared" ref="L15:L16" si="0">L14+I15-G15</f>
        <v>3700000000</v>
      </c>
      <c r="M15" s="273"/>
      <c r="N15" s="273"/>
    </row>
    <row r="16" spans="1:14">
      <c r="A16" s="778">
        <v>40634</v>
      </c>
      <c r="B16" s="779" t="s">
        <v>440</v>
      </c>
      <c r="C16" s="778">
        <v>40634</v>
      </c>
      <c r="D16" s="273" t="s">
        <v>541</v>
      </c>
      <c r="E16" s="780" t="s">
        <v>48</v>
      </c>
      <c r="F16" s="273"/>
      <c r="G16" s="273"/>
      <c r="H16" s="273"/>
      <c r="I16" s="364">
        <v>100000000</v>
      </c>
      <c r="J16" s="273"/>
      <c r="K16" s="273"/>
      <c r="L16" s="782">
        <f t="shared" si="0"/>
        <v>3800000000</v>
      </c>
      <c r="M16" s="273"/>
      <c r="N16" s="273"/>
    </row>
    <row r="17" spans="1:14">
      <c r="A17" s="272"/>
      <c r="B17" s="272"/>
      <c r="C17" s="272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</row>
    <row r="18" spans="1:14">
      <c r="A18" s="272"/>
      <c r="B18" s="272"/>
      <c r="C18" s="272"/>
      <c r="D18" s="274" t="s">
        <v>135</v>
      </c>
      <c r="E18" s="496" t="s">
        <v>19</v>
      </c>
      <c r="F18" s="275"/>
      <c r="G18" s="275"/>
      <c r="H18" s="275"/>
      <c r="I18" s="781">
        <f>SUM(I13:I17)</f>
        <v>1900000000</v>
      </c>
      <c r="J18" s="275"/>
      <c r="K18" s="275"/>
      <c r="L18" s="783">
        <f>L13+I18-F18</f>
        <v>3800000000</v>
      </c>
      <c r="M18" s="275"/>
      <c r="N18" s="275"/>
    </row>
    <row r="19" spans="1:14">
      <c r="A19" s="276"/>
      <c r="B19" s="276"/>
      <c r="C19" s="276"/>
      <c r="D19" s="277" t="s">
        <v>10</v>
      </c>
      <c r="E19" s="497" t="s">
        <v>19</v>
      </c>
      <c r="F19" s="276"/>
      <c r="G19" s="276"/>
      <c r="H19" s="276"/>
      <c r="I19" s="276"/>
      <c r="J19" s="276"/>
      <c r="K19" s="276"/>
      <c r="L19" s="278">
        <f>L13+L18</f>
        <v>5700000000</v>
      </c>
      <c r="M19" s="276"/>
      <c r="N19" s="276"/>
    </row>
    <row r="21" spans="1:14">
      <c r="C21" s="279" t="s">
        <v>197</v>
      </c>
    </row>
    <row r="22" spans="1:14">
      <c r="C22" s="279" t="s">
        <v>198</v>
      </c>
    </row>
    <row r="23" spans="1:14">
      <c r="B23" s="280"/>
      <c r="C23" s="280"/>
      <c r="D23" s="280"/>
      <c r="E23" s="1025" t="s">
        <v>199</v>
      </c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>
      <c r="A24" s="1025" t="s">
        <v>11</v>
      </c>
      <c r="B24" s="1025"/>
      <c r="C24" s="1025"/>
      <c r="D24" s="1025"/>
      <c r="E24" s="1025" t="s">
        <v>12</v>
      </c>
      <c r="F24" s="1025"/>
      <c r="G24" s="1025"/>
      <c r="H24" s="1025"/>
      <c r="I24" s="1025"/>
      <c r="J24" s="1025"/>
      <c r="K24" s="1025"/>
      <c r="L24" s="1025"/>
      <c r="M24" s="1025"/>
      <c r="N24" s="1025"/>
    </row>
    <row r="25" spans="1:14">
      <c r="A25" s="1025" t="s">
        <v>13</v>
      </c>
      <c r="B25" s="1025"/>
      <c r="C25" s="1025"/>
      <c r="D25" s="1025"/>
      <c r="E25" s="1025" t="s">
        <v>13</v>
      </c>
      <c r="F25" s="1025"/>
      <c r="G25" s="1025"/>
      <c r="H25" s="1025"/>
      <c r="I25" s="1025"/>
      <c r="J25" s="1025"/>
      <c r="K25" s="1025"/>
      <c r="L25" s="1025"/>
      <c r="M25" s="1025"/>
      <c r="N25" s="1025"/>
    </row>
  </sheetData>
  <mergeCells count="27"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6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705" customFormat="1" ht="12" customHeight="1">
      <c r="A2" s="704" t="str">
        <f>TH!A1</f>
        <v>Đơn vị: CÔNG TY TNHH SX TM KIM DUNG PHÁT</v>
      </c>
      <c r="G2" s="706" t="str">
        <f>+IF(LEFT($D$7,1)="N","Mẫu số 01 - VT","Mẫu số 02 - VT")</f>
        <v>Mẫu số 02 - VT</v>
      </c>
    </row>
    <row r="3" spans="1:17" s="705" customFormat="1" ht="12" customHeight="1">
      <c r="A3" s="70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06" t="s">
        <v>105</v>
      </c>
      <c r="O3" s="708"/>
      <c r="P3" s="709">
        <f>IF(J5="Quý I",1,IF(J5="Quý II",4,IF(J5="Quý III",7,IF(J5="Quý IV",10,""))))</f>
        <v>1</v>
      </c>
      <c r="Q3" s="709">
        <f>IF(J5="Quý I",3,IF(J5="Quý II",6,IF(J5="Quý III",9,IF(J5="Quý IV",12,""))))</f>
        <v>3</v>
      </c>
    </row>
    <row r="4" spans="1:17" s="70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10"/>
      <c r="M4" s="711"/>
      <c r="N4" s="706" t="s">
        <v>106</v>
      </c>
      <c r="O4" s="708"/>
    </row>
    <row r="5" spans="1:17" ht="18" customHeight="1" thickBot="1">
      <c r="D5" s="315" t="str">
        <f>+IF(LEFT($L$5,1)="N","PHIẾU NHẬP KHO","PHIẾU XUẤT KHO")</f>
        <v>PHIẾU XUẤT KHO</v>
      </c>
      <c r="J5" s="701" t="s">
        <v>1746</v>
      </c>
      <c r="K5" s="316"/>
      <c r="L5" s="702" t="s">
        <v>1744</v>
      </c>
      <c r="M5" s="317"/>
      <c r="N5" s="703">
        <v>29</v>
      </c>
      <c r="O5" s="312"/>
      <c r="P5" s="312"/>
    </row>
    <row r="6" spans="1:17" ht="11.25" customHeight="1">
      <c r="D6" s="71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10  tháng  3  năm  2012</v>
      </c>
      <c r="E6" s="714"/>
      <c r="M6" s="314"/>
      <c r="O6" s="312"/>
    </row>
    <row r="7" spans="1:17" ht="11.25" customHeight="1">
      <c r="C7" s="715" t="str">
        <f xml:space="preserve"> "Số:"</f>
        <v>Số:</v>
      </c>
      <c r="D7" s="716" t="str">
        <f xml:space="preserve"> RIGHT($L$5,2)&amp;"/"&amp;LEFT($L$5,1)&amp;IF($N$5&gt;=10,$N$5,"0"&amp;$N$5)</f>
        <v>TP/X29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1.25" customHeight="1">
      <c r="D8" s="71"/>
      <c r="G8" s="311" t="str">
        <f ca="1">"Có:  "&amp;IF(ROWS($1:1)&gt;COUNT(Dong10),"",OFFSET(TH!M$1,SMALL(Dong10,ROWS($1:1)),))</f>
        <v>Có:  5112</v>
      </c>
      <c r="M8" s="314"/>
      <c r="O8" s="717"/>
    </row>
    <row r="9" spans="1:17" ht="10.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14"/>
    </row>
    <row r="10" spans="1:17" ht="10.5" customHeight="1">
      <c r="A10" s="311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Lý do xuất :                                 Xuất bán</v>
      </c>
    </row>
    <row r="11" spans="1:17" ht="10.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0.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0.5" customHeight="1">
      <c r="A14" s="1040" t="s">
        <v>35</v>
      </c>
      <c r="B14" s="1040" t="s">
        <v>220</v>
      </c>
      <c r="C14" s="1040" t="s">
        <v>221</v>
      </c>
      <c r="D14" s="1040" t="s">
        <v>210</v>
      </c>
      <c r="E14" s="1042" t="s">
        <v>222</v>
      </c>
      <c r="F14" s="1042"/>
      <c r="G14" s="1040" t="s">
        <v>223</v>
      </c>
      <c r="H14" s="1040" t="s">
        <v>224</v>
      </c>
    </row>
    <row r="15" spans="1:17" ht="10.5" customHeight="1">
      <c r="A15" s="1041"/>
      <c r="B15" s="1041"/>
      <c r="C15" s="1041"/>
      <c r="D15" s="1041"/>
      <c r="E15" s="718" t="s">
        <v>225</v>
      </c>
      <c r="F15" s="718" t="str">
        <f>IF(LEFT($D$7,1)="N","Thực nhập","Thực xuất")</f>
        <v>Thực xuất</v>
      </c>
      <c r="G15" s="1041"/>
      <c r="H15" s="1041"/>
    </row>
    <row r="16" spans="1:17" s="71" customFormat="1" ht="8.25" customHeight="1">
      <c r="A16" s="719" t="s">
        <v>2</v>
      </c>
      <c r="B16" s="719" t="s">
        <v>3</v>
      </c>
      <c r="C16" s="719" t="s">
        <v>4</v>
      </c>
      <c r="D16" s="719" t="s">
        <v>5</v>
      </c>
      <c r="E16" s="719">
        <v>1</v>
      </c>
      <c r="F16" s="719">
        <v>2</v>
      </c>
      <c r="G16" s="719">
        <v>3</v>
      </c>
      <c r="H16" s="719">
        <v>4</v>
      </c>
    </row>
    <row r="17" spans="1:8" ht="11.25" customHeight="1">
      <c r="A17" s="720">
        <f ca="1">IF(B17="","",ROW()-16)</f>
        <v>1</v>
      </c>
      <c r="B17" s="721" t="str">
        <f ca="1">IF(ROWS($1:1)&gt;COUNT(Dong10),"",OFFSET(TH!F$1,SMALL(Dong10,ROWS($1:1)),))</f>
        <v>Thùng (520x265x265)</v>
      </c>
      <c r="C17" s="722"/>
      <c r="D17" s="723" t="str">
        <f ca="1">IF(ISNA(VLOOKUP(B17,NXT!$C$12:$D$587,2,0)),"",VLOOKUP(B17,NXT!$C$12:$D$587,2,0))</f>
        <v>cái</v>
      </c>
      <c r="E17" s="724"/>
      <c r="F17" s="725">
        <f ca="1">IF(ROWS($1:1)&gt;COUNT(Dong10),"",OFFSET(TH!I$1,SMALL(Dong10,ROWS($1:1)),))</f>
        <v>1277</v>
      </c>
      <c r="G17" s="726">
        <f ca="1">IF(ROWS($1:1)&gt;COUNT(Dong10),"",OFFSET(TH!J$1,SMALL(Dong10,ROWS($1:1)),))</f>
        <v>6210</v>
      </c>
      <c r="H17" s="724">
        <f ca="1">IF(F17&lt;&gt;"",ROUND(F17*G17,0),0)</f>
        <v>7930170</v>
      </c>
    </row>
    <row r="18" spans="1:8" ht="11.25" customHeight="1">
      <c r="A18" s="720">
        <f t="shared" ref="A18:A20" ca="1" si="0">IF(B18="","",A17+1)</f>
        <v>2</v>
      </c>
      <c r="B18" s="721" t="str">
        <f ca="1">IF(ROWS($1:2)&gt;COUNT(Dong10),"",OFFSET(TH!F$1,SMALL(Dong10,ROWS($1:2)),))</f>
        <v>Thùng (520x320x210)</v>
      </c>
      <c r="C18" s="722"/>
      <c r="D18" s="723" t="str">
        <f ca="1">IF(ISNA(VLOOKUP(B18,NXT!$C$12:$D$587,2,0)),"",VLOOKUP(B18,NXT!$C$12:$D$587,2,0))</f>
        <v>cái</v>
      </c>
      <c r="E18" s="724"/>
      <c r="F18" s="725">
        <f ca="1">IF(ROWS($1:2)&gt;COUNT(Dong10),"",OFFSET(TH!I$1,SMALL(Dong10,ROWS($1:2)),))</f>
        <v>1305</v>
      </c>
      <c r="G18" s="726">
        <f ca="1">IF(ROWS($1:2)&gt;COUNT(Dong10),"",OFFSET(TH!J$1,SMALL(Dong10,ROWS($1:2)),))</f>
        <v>6630</v>
      </c>
      <c r="H18" s="724">
        <f t="shared" ref="H18:H23" ca="1" si="1">IF(F18&lt;&gt;"",ROUND(F18*G18,0),0)</f>
        <v>8652150</v>
      </c>
    </row>
    <row r="19" spans="1:8" ht="11.25" customHeight="1">
      <c r="A19" s="720">
        <f t="shared" ca="1" si="0"/>
        <v>3</v>
      </c>
      <c r="B19" s="721" t="str">
        <f ca="1">IF(ROWS($1:3)&gt;COUNT(Dong10),"",OFFSET(TH!F$1,SMALL(Dong10,ROWS($1:3)),))</f>
        <v>Thùng (500x250x360)</v>
      </c>
      <c r="C19" s="722"/>
      <c r="D19" s="723" t="str">
        <f ca="1">IF(ISNA(VLOOKUP(B19,NXT!$C$12:$D$587,2,0)),"",VLOOKUP(B19,NXT!$C$12:$D$587,2,0))</f>
        <v>cái</v>
      </c>
      <c r="E19" s="724"/>
      <c r="F19" s="725">
        <f ca="1">IF(ROWS($1:3)&gt;COUNT(Dong10),"",OFFSET(TH!I$1,SMALL(Dong10,ROWS($1:3)),))</f>
        <v>301</v>
      </c>
      <c r="G19" s="726">
        <f ca="1">IF(ROWS($1:3)&gt;COUNT(Dong10),"",OFFSET(TH!J$1,SMALL(Dong10,ROWS($1:3)),))</f>
        <v>6830</v>
      </c>
      <c r="H19" s="724">
        <f t="shared" ca="1" si="1"/>
        <v>2055830</v>
      </c>
    </row>
    <row r="20" spans="1:8" ht="11.25" customHeight="1">
      <c r="A20" s="720">
        <f t="shared" ca="1" si="0"/>
        <v>4</v>
      </c>
      <c r="B20" s="721" t="str">
        <f ca="1">IF(ROWS($1:4)&gt;COUNT(Dong10),"",OFFSET(TH!F$1,SMALL(Dong10,ROWS($1:4)),))</f>
        <v>Thùng (62x51x29)</v>
      </c>
      <c r="C20" s="722"/>
      <c r="D20" s="723" t="str">
        <f ca="1">IF(ISNA(VLOOKUP(B20,NXT!$C$12:$D$587,2,0)),"",VLOOKUP(B20,NXT!$C$12:$D$587,2,0))</f>
        <v>cái</v>
      </c>
      <c r="E20" s="724"/>
      <c r="F20" s="725">
        <f ca="1">IF(ROWS($1:4)&gt;COUNT(Dong10),"",OFFSET(TH!I$1,SMALL(Dong10,ROWS($1:4)),))</f>
        <v>220</v>
      </c>
      <c r="G20" s="726">
        <f ca="1">IF(ROWS($1:4)&gt;COUNT(Dong10),"",OFFSET(TH!J$1,SMALL(Dong10,ROWS($1:4)),))</f>
        <v>13320</v>
      </c>
      <c r="H20" s="724">
        <f t="shared" ca="1" si="1"/>
        <v>2930400</v>
      </c>
    </row>
    <row r="21" spans="1:8" ht="11.25" customHeight="1">
      <c r="A21" s="720" t="str">
        <f t="shared" ref="A21:A23" ca="1" si="2">IF(B21="","",A20+1)</f>
        <v/>
      </c>
      <c r="B21" s="721" t="str">
        <f ca="1">IF(ROWS($1:5)&gt;COUNT(Dong10),"",OFFSET(TH!F$1,SMALL(Dong10,ROWS($1:5)),))</f>
        <v/>
      </c>
      <c r="C21" s="722"/>
      <c r="D21" s="723" t="str">
        <f ca="1">IF(ISNA(VLOOKUP(B21,NXT!$C$12:$D$587,2,0)),"",VLOOKUP(B21,NXT!$C$12:$D$587,2,0))</f>
        <v/>
      </c>
      <c r="E21" s="724"/>
      <c r="F21" s="725" t="str">
        <f ca="1">IF(ROWS($1:5)&gt;COUNT(Dong10),"",OFFSET(TH!I$1,SMALL(Dong10,ROWS($1:5)),))</f>
        <v/>
      </c>
      <c r="G21" s="726" t="str">
        <f ca="1">IF(ROWS($1:5)&gt;COUNT(Dong10),"",OFFSET(TH!J$1,SMALL(Dong10,ROWS($1:5)),))</f>
        <v/>
      </c>
      <c r="H21" s="724">
        <f t="shared" ca="1" si="1"/>
        <v>0</v>
      </c>
    </row>
    <row r="22" spans="1:8" ht="11.25" customHeight="1">
      <c r="A22" s="720" t="str">
        <f t="shared" ca="1" si="2"/>
        <v/>
      </c>
      <c r="B22" s="721" t="str">
        <f ca="1">IF(ROWS($1:6)&gt;COUNT(Dong10),"",OFFSET(TH!F$1,SMALL(Dong10,ROWS($1:6)),))</f>
        <v/>
      </c>
      <c r="C22" s="722"/>
      <c r="D22" s="723" t="str">
        <f ca="1">IF(ISNA(VLOOKUP(B22,NXT!$C$12:$D$587,2,0)),"",VLOOKUP(B22,NXT!$C$12:$D$587,2,0))</f>
        <v/>
      </c>
      <c r="E22" s="724"/>
      <c r="F22" s="725" t="str">
        <f ca="1">IF(ROWS($1:6)&gt;COUNT(Dong10),"",OFFSET(TH!I$1,SMALL(Dong10,ROWS($1:6)),))</f>
        <v/>
      </c>
      <c r="G22" s="726" t="str">
        <f ca="1">IF(ROWS($1:6)&gt;COUNT(Dong10),"",OFFSET(TH!J$1,SMALL(Dong10,ROWS($1:6)),))</f>
        <v/>
      </c>
      <c r="H22" s="724">
        <f t="shared" ca="1" si="1"/>
        <v>0</v>
      </c>
    </row>
    <row r="23" spans="1:8" ht="11.25" customHeight="1">
      <c r="A23" s="720" t="str">
        <f t="shared" ca="1" si="2"/>
        <v/>
      </c>
      <c r="B23" s="721" t="str">
        <f ca="1">IF(ROWS($1:7)&gt;COUNT(Dong10),"",OFFSET(TH!F$1,SMALL(Dong10,ROWS($1:7)),))</f>
        <v/>
      </c>
      <c r="C23" s="722"/>
      <c r="D23" s="723" t="str">
        <f ca="1">IF(ISNA(VLOOKUP(B23,NXT!$C$12:$D$587,2,0)),"",VLOOKUP(B23,NXT!$C$12:$D$587,2,0))</f>
        <v/>
      </c>
      <c r="E23" s="724"/>
      <c r="F23" s="725" t="str">
        <f ca="1">IF(ROWS($1:7)&gt;COUNT(Dong10),"",OFFSET(TH!I$1,SMALL(Dong10,ROWS($1:7)),))</f>
        <v/>
      </c>
      <c r="G23" s="726" t="str">
        <f ca="1">IF(ROWS($1:7)&gt;COUNT(Dong10),"",OFFSET(TH!J$1,SMALL(Dong10,ROWS($1:7)),))</f>
        <v/>
      </c>
      <c r="H23" s="724">
        <f t="shared" ca="1" si="1"/>
        <v>0</v>
      </c>
    </row>
    <row r="24" spans="1:8" ht="11.25" customHeight="1">
      <c r="A24" s="720" t="str">
        <f t="shared" ref="A24:A27" ca="1" si="3">IF(B24="","",A23+1)</f>
        <v/>
      </c>
      <c r="B24" s="721" t="str">
        <f ca="1">IF(ROWS($1:8)&gt;COUNT(Dong10),"",OFFSET(TH!F$1,SMALL(Dong10,ROWS($1:8)),))</f>
        <v/>
      </c>
      <c r="C24" s="722"/>
      <c r="D24" s="723" t="str">
        <f ca="1">IF(ISNA(VLOOKUP(B24,NXT!$C$12:$D$587,2,0)),"",VLOOKUP(B24,NXT!$C$12:$D$587,2,0))</f>
        <v/>
      </c>
      <c r="E24" s="724"/>
      <c r="F24" s="725" t="str">
        <f ca="1">IF(ROWS($1:8)&gt;COUNT(Dong10),"",OFFSET(TH!I$1,SMALL(Dong10,ROWS($1:8)),))</f>
        <v/>
      </c>
      <c r="G24" s="726" t="str">
        <f ca="1">IF(ROWS($1:8)&gt;COUNT(Dong10),"",OFFSET(TH!J$1,SMALL(Dong10,ROWS($1:8)),))</f>
        <v/>
      </c>
      <c r="H24" s="724">
        <f t="shared" ref="H24:H27" ca="1" si="4">IF(F24&lt;&gt;"",ROUND(F24*G24,0),0)</f>
        <v>0</v>
      </c>
    </row>
    <row r="25" spans="1:8" ht="11.25" customHeight="1">
      <c r="A25" s="720" t="str">
        <f t="shared" ca="1" si="3"/>
        <v/>
      </c>
      <c r="B25" s="721" t="str">
        <f ca="1">IF(ROWS($1:9)&gt;COUNT(Dong10),"",OFFSET(TH!F$1,SMALL(Dong10,ROWS($1:9)),))</f>
        <v/>
      </c>
      <c r="C25" s="722"/>
      <c r="D25" s="723" t="str">
        <f ca="1">IF(ISNA(VLOOKUP(B25,NXT!$C$12:$D$587,2,0)),"",VLOOKUP(B25,NXT!$C$12:$D$587,2,0))</f>
        <v/>
      </c>
      <c r="E25" s="724"/>
      <c r="F25" s="725" t="str">
        <f ca="1">IF(ROWS($1:9)&gt;COUNT(Dong10),"",OFFSET(TH!I$1,SMALL(Dong10,ROWS($1:9)),))</f>
        <v/>
      </c>
      <c r="G25" s="726" t="str">
        <f ca="1">IF(ROWS($1:9)&gt;COUNT(Dong10),"",OFFSET(TH!J$1,SMALL(Dong10,ROWS($1:9)),))</f>
        <v/>
      </c>
      <c r="H25" s="724">
        <f t="shared" ca="1" si="4"/>
        <v>0</v>
      </c>
    </row>
    <row r="26" spans="1:8" ht="11.25" customHeight="1">
      <c r="A26" s="720" t="str">
        <f t="shared" ca="1" si="3"/>
        <v/>
      </c>
      <c r="B26" s="721" t="str">
        <f ca="1">IF(ROWS($1:10)&gt;COUNT(Dong10),"",OFFSET(TH!F$1,SMALL(Dong10,ROWS($1:10)),))</f>
        <v/>
      </c>
      <c r="C26" s="722"/>
      <c r="D26" s="723" t="str">
        <f ca="1">IF(ISNA(VLOOKUP(B26,NXT!$C$12:$D$587,2,0)),"",VLOOKUP(B26,NXT!$C$12:$D$587,2,0))</f>
        <v/>
      </c>
      <c r="E26" s="724"/>
      <c r="F26" s="725" t="str">
        <f ca="1">IF(ROWS($1:10)&gt;COUNT(Dong10),"",OFFSET(TH!I$1,SMALL(Dong10,ROWS($1:10)),))</f>
        <v/>
      </c>
      <c r="G26" s="726" t="str">
        <f ca="1">IF(ROWS($1:10)&gt;COUNT(Dong10),"",OFFSET(TH!J$1,SMALL(Dong10,ROWS($1:10)),))</f>
        <v/>
      </c>
      <c r="H26" s="724">
        <f t="shared" ca="1" si="4"/>
        <v>0</v>
      </c>
    </row>
    <row r="27" spans="1:8" ht="11.25" customHeight="1">
      <c r="A27" s="720" t="str">
        <f t="shared" ca="1" si="3"/>
        <v/>
      </c>
      <c r="B27" s="721" t="str">
        <f ca="1">IF(ROWS($1:11)&gt;COUNT(Dong10),"",OFFSET(TH!F$1,SMALL(Dong10,ROWS($1:11)),))</f>
        <v/>
      </c>
      <c r="C27" s="722"/>
      <c r="D27" s="723" t="str">
        <f ca="1">IF(ISNA(VLOOKUP(B27,NXT!$C$12:$D$587,2,0)),"",VLOOKUP(B27,NXT!$C$12:$D$587,2,0))</f>
        <v/>
      </c>
      <c r="E27" s="724"/>
      <c r="F27" s="725" t="str">
        <f ca="1">IF(ROWS($1:11)&gt;COUNT(Dong10),"",OFFSET(TH!I$1,SMALL(Dong10,ROWS($1:11)),))</f>
        <v/>
      </c>
      <c r="G27" s="726" t="str">
        <f ca="1">IF(ROWS($1:11)&gt;COUNT(Dong10),"",OFFSET(TH!J$1,SMALL(Dong10,ROWS($1:11)),))</f>
        <v/>
      </c>
      <c r="H27" s="724">
        <f t="shared" ca="1" si="4"/>
        <v>0</v>
      </c>
    </row>
    <row r="28" spans="1:8" ht="6.75" customHeight="1">
      <c r="A28" s="720" t="str">
        <f t="shared" ref="A28" ca="1" si="5">IF(B28="","",A27+1)</f>
        <v/>
      </c>
      <c r="B28" s="721" t="str">
        <f ca="1">IF(ROWS($1:12)&gt;COUNT(Dong10),"",OFFSET(TH!F$1,SMALL(Dong10,ROWS($1:12)),))</f>
        <v/>
      </c>
      <c r="C28" s="722"/>
      <c r="D28" s="723" t="str">
        <f ca="1">IF(ISNA(VLOOKUP(B28,NXT!$C$12:$D$587,2,0)),"",VLOOKUP(B28,NXT!$C$12:$D$587,2,0))</f>
        <v/>
      </c>
      <c r="E28" s="724"/>
      <c r="F28" s="725" t="str">
        <f ca="1">IF(ROWS($1:12)&gt;COUNT(Dong10),"",OFFSET(TH!I$1,SMALL(Dong10,ROWS($1:12)),))</f>
        <v/>
      </c>
      <c r="G28" s="726" t="str">
        <f ca="1">IF(ROWS($1:12)&gt;COUNT(Dong10),"",OFFSET(TH!J$1,SMALL(Dong10,ROWS($1:12)),))</f>
        <v/>
      </c>
      <c r="H28" s="724">
        <f t="shared" ref="H28" ca="1" si="6">IF(F28&lt;&gt;"",ROUND(F28*G28,0),0)</f>
        <v>0</v>
      </c>
    </row>
    <row r="29" spans="1:8" ht="11.25" customHeight="1">
      <c r="A29" s="1042" t="s">
        <v>226</v>
      </c>
      <c r="B29" s="1042"/>
      <c r="C29" s="727"/>
      <c r="D29" s="727"/>
      <c r="E29" s="728"/>
      <c r="F29" s="728"/>
      <c r="G29" s="728"/>
      <c r="H29" s="728">
        <f ca="1">SUM(H17:H28)</f>
        <v>21568550</v>
      </c>
    </row>
    <row r="30" spans="1:8" ht="3" customHeight="1">
      <c r="A30" s="729"/>
      <c r="B30" s="729"/>
      <c r="C30" s="314"/>
      <c r="D30" s="314"/>
      <c r="E30" s="730"/>
      <c r="F30" s="730"/>
      <c r="G30" s="730"/>
      <c r="H30" s="730"/>
    </row>
    <row r="31" spans="1:8" ht="12" customHeight="1">
      <c r="A31" s="311" t="str">
        <f ca="1">"Tổng số tiền (viết bằng chữ):  "&amp;[1]!VND(H29, TRUE)</f>
        <v>Tổng số tiền (viết bằng chữ):  Hai mươi mốt triệu, năm trăm sáu mươi tám ngàn, năm trăm năm mươi đồng</v>
      </c>
    </row>
    <row r="32" spans="1:8" ht="12" customHeight="1">
      <c r="A32" s="311" t="str">
        <f ca="1">"Số chứng từ gốc kèm theo :  "&amp;IF(ROWS($1:1)&gt;COUNT(Dong10),"",IF(OFFSET(TH!G$1,SMALL(Dong10,ROWS($1:1)),)="","","HĐ "&amp;OFFSET(TH!G$1,SMALL(Dong10,ROWS($1:1)),)))</f>
        <v>Số chứng từ gốc kèm theo :  HĐ 0000120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10  tháng  3  năm  2012</v>
      </c>
    </row>
    <row r="34" spans="1:8" s="313" customFormat="1" ht="10.5" customHeight="1">
      <c r="A34" s="731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716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716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712" customFormat="1" ht="11.25" customHeight="1"/>
    <row r="41" spans="1:8" ht="11.25" customHeight="1">
      <c r="A41" s="319"/>
      <c r="F41" s="320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229</v>
      </c>
      <c r="E1" s="322"/>
      <c r="O1" s="323"/>
    </row>
    <row r="2" spans="1:17" s="260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43" t="s">
        <v>230</v>
      </c>
      <c r="K2" s="1043"/>
      <c r="L2" s="1043"/>
      <c r="M2" s="1043"/>
      <c r="N2" s="328"/>
    </row>
    <row r="3" spans="1:17" s="260" customFormat="1" ht="16.5" customHeight="1">
      <c r="B3" s="633" t="str">
        <f>TH!A2</f>
        <v>Địa chỉ: 1A227/1 Ấp 1, Phạm Văn Hai, Bình Chánh, TPHCM</v>
      </c>
      <c r="C3" s="324"/>
      <c r="D3" s="324"/>
      <c r="E3" s="329"/>
      <c r="F3" s="324"/>
      <c r="J3" s="1044" t="s">
        <v>47</v>
      </c>
      <c r="K3" s="1044"/>
      <c r="L3" s="1044"/>
      <c r="M3" s="1044"/>
      <c r="N3" s="330"/>
    </row>
    <row r="4" spans="1:17" s="260" customFormat="1" ht="16.5" customHeight="1">
      <c r="B4" s="324"/>
      <c r="C4" s="324"/>
      <c r="D4" s="324"/>
      <c r="E4" s="329"/>
      <c r="F4" s="324"/>
      <c r="J4" s="1044"/>
      <c r="K4" s="1044"/>
      <c r="L4" s="1044"/>
      <c r="M4" s="1044"/>
      <c r="N4" s="330"/>
    </row>
    <row r="5" spans="1:17" ht="18.75" customHeight="1">
      <c r="B5" s="1045" t="s">
        <v>231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331"/>
    </row>
    <row r="6" spans="1:17" s="332" customFormat="1" ht="12.75">
      <c r="B6" s="1046" t="s">
        <v>232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M6" s="1046"/>
      <c r="N6" s="333"/>
    </row>
    <row r="7" spans="1:17">
      <c r="C7" s="334"/>
      <c r="D7" s="334"/>
      <c r="F7" s="336" t="s">
        <v>297</v>
      </c>
      <c r="G7" s="470" t="str">
        <f>IF($O$10="VL","1522",IF($O$10="NL","1521",IF($O$10="TP","155","")))</f>
        <v>1521</v>
      </c>
      <c r="H7" s="336" t="s">
        <v>233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234</v>
      </c>
      <c r="H8" s="334"/>
      <c r="I8" s="334"/>
      <c r="J8" s="1047" t="s">
        <v>1240</v>
      </c>
      <c r="K8" s="1047"/>
      <c r="L8" s="1047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125</v>
      </c>
      <c r="M9" s="339"/>
      <c r="N9" s="340"/>
    </row>
    <row r="10" spans="1:17" ht="15.75" customHeight="1">
      <c r="A10" s="1049" t="s">
        <v>35</v>
      </c>
      <c r="B10" s="1050" t="s">
        <v>1</v>
      </c>
      <c r="C10" s="1050"/>
      <c r="D10" s="1051" t="s">
        <v>0</v>
      </c>
      <c r="E10" s="1051" t="s">
        <v>235</v>
      </c>
      <c r="F10" s="1051" t="s">
        <v>223</v>
      </c>
      <c r="G10" s="1053" t="s">
        <v>236</v>
      </c>
      <c r="H10" s="1054"/>
      <c r="I10" s="1053" t="s">
        <v>237</v>
      </c>
      <c r="J10" s="1054"/>
      <c r="K10" s="1053" t="s">
        <v>238</v>
      </c>
      <c r="L10" s="1054"/>
      <c r="M10" s="1051" t="s">
        <v>129</v>
      </c>
      <c r="N10" s="341"/>
      <c r="O10" s="342" t="s">
        <v>229</v>
      </c>
    </row>
    <row r="11" spans="1:17" ht="31.5" customHeight="1">
      <c r="A11" s="1049"/>
      <c r="B11" s="343" t="s">
        <v>15</v>
      </c>
      <c r="C11" s="343" t="s">
        <v>32</v>
      </c>
      <c r="D11" s="1051"/>
      <c r="E11" s="1051"/>
      <c r="F11" s="1051"/>
      <c r="G11" s="343" t="s">
        <v>222</v>
      </c>
      <c r="H11" s="343" t="s">
        <v>224</v>
      </c>
      <c r="I11" s="343" t="s">
        <v>222</v>
      </c>
      <c r="J11" s="343" t="s">
        <v>224</v>
      </c>
      <c r="K11" s="343" t="s">
        <v>222</v>
      </c>
      <c r="L11" s="343" t="s">
        <v>224</v>
      </c>
      <c r="M11" s="1051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240</v>
      </c>
      <c r="I12" s="345">
        <v>4</v>
      </c>
      <c r="J12" s="345" t="s">
        <v>241</v>
      </c>
      <c r="K12" s="345">
        <v>6</v>
      </c>
      <c r="L12" s="345" t="s">
        <v>242</v>
      </c>
      <c r="M12" s="345"/>
      <c r="N12" s="347"/>
    </row>
    <row r="13" spans="1:17">
      <c r="A13" s="348"/>
      <c r="B13" s="348"/>
      <c r="C13" s="348"/>
      <c r="D13" s="349" t="s">
        <v>146</v>
      </c>
      <c r="E13" s="350"/>
      <c r="F13" s="351"/>
      <c r="G13" s="351"/>
      <c r="H13" s="351"/>
      <c r="I13" s="351"/>
      <c r="J13" s="351"/>
      <c r="K13" s="352">
        <f>VLOOKUP($J$8,NXT!$C$12:$L$587,3,0)</f>
        <v>12</v>
      </c>
      <c r="L13" s="352">
        <f>VLOOKUP($J$8,NXT!$C$12:$L$587,4,0)</f>
        <v>208488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NL/X16</v>
      </c>
      <c r="C14" s="354">
        <f ca="1">IF(ROWS($1:1)&gt;COUNT(Dong11),"",OFFSET(TH!E$1,SMALL(Dong11,ROWS($1:1)),))</f>
        <v>40962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17374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6</v>
      </c>
      <c r="J14" s="357">
        <f ca="1">ROUND(F14*I14,0)</f>
        <v>104244</v>
      </c>
      <c r="K14" s="357">
        <f ca="1">IF(D14&lt;&gt;"",K13+G14-I14,0)</f>
        <v>6</v>
      </c>
      <c r="L14" s="357">
        <f ca="1">IF(D14&lt;&gt;"",L13+H14-J14,0)</f>
        <v>104244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NL/X16</v>
      </c>
      <c r="C15" s="354">
        <f ca="1">IF(ROWS($1:2)&gt;COUNT(Dong11),"",OFFSET(TH!E$1,SMALL(Dong11,ROWS($1:2)),))</f>
        <v>40962</v>
      </c>
      <c r="D15" s="355" t="str">
        <f ca="1">IF(ROWS($1:2)&gt;COUNT(Dong11),"",OFFSET(TH!H$1,SMALL(Dong11,ROWS($1:2)),))</f>
        <v>Xuất sản xuất</v>
      </c>
      <c r="E15" s="353" t="str">
        <f ca="1">IF(ROWS($1:2)&gt;COUNT(Dong11),"",IF(OFFSET(TH!L$1,SMALL(Dong11,ROWS($1:2)),)=$G$7,OFFSET(TH!M$1,SMALL(Dong11,ROWS($1:2)),),OFFSET(TH!L$1,SMALL(Dong11,ROWS($1:2)),)))</f>
        <v>154</v>
      </c>
      <c r="F15" s="356">
        <f ca="1">IF(ROWS($1:2)&gt;COUNT(Dong11),0,OFFSET(TH!J$1,SMALL(Dong11,ROWS($1:2)),))</f>
        <v>17374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2</v>
      </c>
      <c r="J15" s="357">
        <f t="shared" ref="J15:J24" ca="1" si="2">ROUND(F15*I15,0)</f>
        <v>34748</v>
      </c>
      <c r="K15" s="357">
        <f t="shared" ref="K15:K24" ca="1" si="3">IF(D15&lt;&gt;"",K14+G15-I15,0)</f>
        <v>4</v>
      </c>
      <c r="L15" s="357">
        <f t="shared" ref="L15:L24" ca="1" si="4">IF(D15&lt;&gt;"",L14+H15-J15,0)</f>
        <v>69496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NL/X17</v>
      </c>
      <c r="C16" s="354">
        <f ca="1">IF(ROWS($1:3)&gt;COUNT(Dong11),"",OFFSET(TH!E$1,SMALL(Dong11,ROWS($1:3)),))</f>
        <v>40965</v>
      </c>
      <c r="D16" s="355" t="str">
        <f ca="1">IF(ROWS($1:3)&gt;COUNT(Dong11),"",OFFSET(TH!H$1,SMALL(Dong11,ROWS($1:3)),))</f>
        <v>Xuất sản xuất</v>
      </c>
      <c r="E16" s="353" t="str">
        <f ca="1">IF(ROWS($1:3)&gt;COUNT(Dong11),"",IF(OFFSET(TH!L$1,SMALL(Dong11,ROWS($1:3)),)=$G$7,OFFSET(TH!M$1,SMALL(Dong11,ROWS($1:3)),),OFFSET(TH!L$1,SMALL(Dong11,ROWS($1:3)),)))</f>
        <v>154</v>
      </c>
      <c r="F16" s="356">
        <f ca="1">IF(ROWS($1:3)&gt;COUNT(Dong11),0,OFFSET(TH!J$1,SMALL(Dong11,ROWS($1:3)),))</f>
        <v>17374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3</v>
      </c>
      <c r="J16" s="357">
        <f t="shared" ca="1" si="2"/>
        <v>52122</v>
      </c>
      <c r="K16" s="357">
        <f t="shared" ca="1" si="3"/>
        <v>1</v>
      </c>
      <c r="L16" s="357">
        <f t="shared" ca="1" si="4"/>
        <v>17374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NL/X17</v>
      </c>
      <c r="C17" s="354">
        <f ca="1">IF(ROWS($1:4)&gt;COUNT(Dong11),"",OFFSET(TH!E$1,SMALL(Dong11,ROWS($1:4)),))</f>
        <v>40965</v>
      </c>
      <c r="D17" s="355" t="str">
        <f ca="1">IF(ROWS($1:4)&gt;COUNT(Dong11),"",OFFSET(TH!H$1,SMALL(Dong11,ROWS($1:4)),))</f>
        <v>Xuất sản xuất</v>
      </c>
      <c r="E17" s="353" t="str">
        <f ca="1">IF(ROWS($1:4)&gt;COUNT(Dong11),"",IF(OFFSET(TH!L$1,SMALL(Dong11,ROWS($1:4)),)=$G$7,OFFSET(TH!M$1,SMALL(Dong11,ROWS($1:4)),),OFFSET(TH!L$1,SMALL(Dong11,ROWS($1:4)),)))</f>
        <v>154</v>
      </c>
      <c r="F17" s="356">
        <f ca="1">IF(ROWS($1:4)&gt;COUNT(Dong11),0,OFFSET(TH!J$1,SMALL(Dong11,ROWS($1:4)),))</f>
        <v>17374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1</v>
      </c>
      <c r="J17" s="357">
        <f t="shared" ca="1" si="2"/>
        <v>17374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243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12</v>
      </c>
      <c r="J74" s="366">
        <f ca="1">SUM(J14:J73)</f>
        <v>208488</v>
      </c>
      <c r="K74" s="366">
        <f ca="1">K13+G74-I74</f>
        <v>0</v>
      </c>
      <c r="L74" s="366">
        <f ca="1">L13+H74-J74</f>
        <v>0</v>
      </c>
      <c r="M74" s="365"/>
      <c r="N74" s="347"/>
    </row>
    <row r="75" spans="1:14">
      <c r="B75" s="367" t="s">
        <v>244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23 tháng 2 năm 2012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52" t="s">
        <v>218</v>
      </c>
      <c r="K77" s="1052"/>
      <c r="L77" s="1052"/>
      <c r="M77" s="1052"/>
      <c r="N77" s="347"/>
    </row>
    <row r="78" spans="1:14">
      <c r="C78" s="334"/>
      <c r="D78" s="569" t="s">
        <v>11</v>
      </c>
      <c r="E78" s="1052" t="s">
        <v>12</v>
      </c>
      <c r="F78" s="1052"/>
      <c r="G78" s="1052"/>
      <c r="H78" s="1052"/>
      <c r="I78" s="1052"/>
      <c r="J78" s="1052" t="s">
        <v>110</v>
      </c>
      <c r="K78" s="1052"/>
      <c r="L78" s="1052"/>
      <c r="M78" s="1052"/>
      <c r="N78" s="347"/>
    </row>
    <row r="79" spans="1:14">
      <c r="C79" s="334"/>
      <c r="D79" s="569" t="s">
        <v>13</v>
      </c>
      <c r="E79" s="1052" t="s">
        <v>13</v>
      </c>
      <c r="F79" s="1052"/>
      <c r="G79" s="1052"/>
      <c r="H79" s="1052" t="s">
        <v>138</v>
      </c>
      <c r="I79" s="1052"/>
      <c r="J79" s="1052" t="s">
        <v>138</v>
      </c>
      <c r="K79" s="1052"/>
      <c r="L79" s="1052"/>
      <c r="M79" s="1052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99" t="s">
        <v>158</v>
      </c>
      <c r="E88" s="599"/>
      <c r="J88" s="1048" t="s">
        <v>104</v>
      </c>
      <c r="K88" s="1048"/>
      <c r="L88" s="1048"/>
      <c r="M88" s="1048"/>
      <c r="N88" s="600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8" customWidth="1"/>
    <col min="2" max="2" width="9.140625" style="378"/>
    <col min="3" max="3" width="9.140625" style="439" customWidth="1"/>
    <col min="4" max="4" width="10.85546875" style="439" customWidth="1"/>
    <col min="5" max="5" width="39.42578125" style="440" customWidth="1"/>
    <col min="6" max="6" width="10.85546875" style="441" customWidth="1"/>
    <col min="7" max="7" width="9" style="442" customWidth="1"/>
    <col min="8" max="8" width="9.5703125" style="442" customWidth="1"/>
    <col min="9" max="9" width="10" style="442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374"/>
      <c r="G1" s="376"/>
      <c r="H1" s="377" t="s">
        <v>245</v>
      </c>
      <c r="I1" s="378"/>
      <c r="J1" s="379"/>
      <c r="K1" s="379"/>
      <c r="L1" s="380"/>
    </row>
    <row r="2" spans="1:12" ht="15" customHeight="1">
      <c r="A2" s="634" t="str">
        <f>TH!A2</f>
        <v>Địa chỉ: 1A227/1 Ấp 1, Phạm Văn Hai, Bình Chánh, TPHCM</v>
      </c>
      <c r="B2" s="381"/>
      <c r="C2" s="381"/>
      <c r="D2" s="381"/>
      <c r="E2" s="382"/>
      <c r="F2" s="383"/>
      <c r="G2" s="384"/>
      <c r="H2" s="385" t="s">
        <v>203</v>
      </c>
      <c r="I2" s="378"/>
      <c r="J2" s="379"/>
      <c r="K2" s="379"/>
    </row>
    <row r="3" spans="1:12" ht="15">
      <c r="A3" s="381"/>
      <c r="B3" s="381"/>
      <c r="C3" s="381"/>
      <c r="D3" s="381"/>
      <c r="E3" s="382"/>
      <c r="F3" s="383"/>
      <c r="G3" s="384"/>
      <c r="H3" s="385" t="s">
        <v>163</v>
      </c>
      <c r="I3" s="378"/>
      <c r="J3" s="379"/>
      <c r="K3" s="379"/>
    </row>
    <row r="4" spans="1:12" ht="18.75" customHeight="1">
      <c r="A4" s="386"/>
      <c r="B4" s="386"/>
      <c r="C4" s="386"/>
      <c r="D4" s="386"/>
      <c r="E4" s="387" t="s">
        <v>246</v>
      </c>
      <c r="F4" s="386"/>
      <c r="G4" s="386"/>
      <c r="H4" s="386"/>
      <c r="I4" s="386"/>
      <c r="J4" s="379"/>
      <c r="K4" s="379"/>
    </row>
    <row r="5" spans="1:12" ht="15">
      <c r="A5" s="388"/>
      <c r="B5" s="388"/>
      <c r="C5" s="388"/>
      <c r="D5" s="388"/>
      <c r="E5" s="389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8"/>
      <c r="G5" s="388"/>
      <c r="H5" s="388"/>
      <c r="I5" s="388"/>
      <c r="J5" s="379"/>
      <c r="K5" s="379"/>
    </row>
    <row r="6" spans="1:12" ht="15">
      <c r="A6" s="388"/>
      <c r="B6" s="388"/>
      <c r="C6" s="388"/>
      <c r="D6" s="388"/>
      <c r="E6" s="389" t="s">
        <v>247</v>
      </c>
      <c r="F6" s="388"/>
      <c r="G6" s="388"/>
      <c r="H6" s="388"/>
      <c r="I6" s="388"/>
      <c r="J6" s="379"/>
      <c r="K6" s="379"/>
    </row>
    <row r="7" spans="1:12" ht="15">
      <c r="A7" s="368" t="s">
        <v>248</v>
      </c>
      <c r="B7" s="368"/>
      <c r="C7" s="390"/>
      <c r="D7" s="390"/>
      <c r="E7" s="391" t="s">
        <v>403</v>
      </c>
      <c r="F7" s="383"/>
      <c r="G7" s="392"/>
      <c r="H7" s="392"/>
      <c r="I7" s="392"/>
      <c r="J7" s="379"/>
      <c r="K7" s="379"/>
    </row>
    <row r="8" spans="1:12" ht="15">
      <c r="A8" s="368" t="s">
        <v>249</v>
      </c>
      <c r="B8" s="368"/>
      <c r="C8" s="379" t="str">
        <f>VLOOKUP($E$7,NXT!$C$12:$L$588,2,0)</f>
        <v>kg</v>
      </c>
      <c r="D8" s="368"/>
      <c r="E8" s="391"/>
      <c r="F8" s="383"/>
      <c r="G8" s="392"/>
      <c r="H8" s="392"/>
      <c r="I8" s="392"/>
      <c r="J8" s="379"/>
      <c r="K8" s="379"/>
    </row>
    <row r="9" spans="1:12" ht="15">
      <c r="A9" s="1065" t="s">
        <v>250</v>
      </c>
      <c r="B9" s="1066"/>
      <c r="C9" s="1066"/>
      <c r="D9" s="1066"/>
      <c r="E9" s="391"/>
      <c r="F9" s="383"/>
      <c r="G9" s="392"/>
      <c r="H9" s="392"/>
      <c r="I9" s="392"/>
      <c r="J9" s="393"/>
      <c r="K9" s="393"/>
    </row>
    <row r="10" spans="1:12" ht="19.5" customHeight="1">
      <c r="A10" s="1067" t="s">
        <v>251</v>
      </c>
      <c r="B10" s="1068" t="s">
        <v>252</v>
      </c>
      <c r="C10" s="1070" t="s">
        <v>15</v>
      </c>
      <c r="D10" s="1057"/>
      <c r="E10" s="1071" t="s">
        <v>0</v>
      </c>
      <c r="F10" s="1063" t="s">
        <v>253</v>
      </c>
      <c r="G10" s="1056" t="s">
        <v>222</v>
      </c>
      <c r="H10" s="1056"/>
      <c r="I10" s="1057"/>
      <c r="J10" s="1058" t="s">
        <v>254</v>
      </c>
      <c r="K10" s="394"/>
      <c r="L10" s="395" t="s">
        <v>239</v>
      </c>
    </row>
    <row r="11" spans="1:12" ht="19.5" customHeight="1">
      <c r="A11" s="1067"/>
      <c r="B11" s="1069"/>
      <c r="C11" s="396" t="s">
        <v>236</v>
      </c>
      <c r="D11" s="396" t="s">
        <v>237</v>
      </c>
      <c r="E11" s="1072"/>
      <c r="F11" s="1064"/>
      <c r="G11" s="397" t="s">
        <v>236</v>
      </c>
      <c r="H11" s="397" t="s">
        <v>237</v>
      </c>
      <c r="I11" s="397" t="s">
        <v>238</v>
      </c>
      <c r="J11" s="1059"/>
      <c r="K11" s="394"/>
    </row>
    <row r="12" spans="1:12" ht="15">
      <c r="A12" s="398" t="s">
        <v>2</v>
      </c>
      <c r="B12" s="399" t="s">
        <v>3</v>
      </c>
      <c r="C12" s="400" t="s">
        <v>4</v>
      </c>
      <c r="D12" s="400" t="s">
        <v>5</v>
      </c>
      <c r="E12" s="401" t="s">
        <v>6</v>
      </c>
      <c r="F12" s="399" t="s">
        <v>132</v>
      </c>
      <c r="G12" s="402">
        <v>1</v>
      </c>
      <c r="H12" s="402">
        <v>2</v>
      </c>
      <c r="I12" s="402">
        <v>3</v>
      </c>
      <c r="J12" s="400" t="s">
        <v>133</v>
      </c>
      <c r="K12" s="403"/>
    </row>
    <row r="13" spans="1:12" ht="16.5" customHeight="1">
      <c r="A13" s="404"/>
      <c r="B13" s="405"/>
      <c r="C13" s="406"/>
      <c r="D13" s="406"/>
      <c r="E13" s="407" t="s">
        <v>211</v>
      </c>
      <c r="F13" s="405"/>
      <c r="G13" s="408"/>
      <c r="H13" s="408"/>
      <c r="I13" s="409">
        <f>VLOOKUP($E$7,NXT!$C$12:$L$588,3,0)</f>
        <v>50</v>
      </c>
      <c r="J13" s="404"/>
      <c r="K13" s="410"/>
    </row>
    <row r="14" spans="1:12" ht="16.5" customHeight="1">
      <c r="A14" s="411">
        <f ca="1">IF(B14&lt;&gt;"",ROW()-(ROW()-1),"")</f>
        <v>1</v>
      </c>
      <c r="B14" s="412">
        <f ca="1">IF(ROWS($1:1)&gt;COUNT(Dong12),"",OFFSET(TH!E$1,SMALL(Dong12,ROWS($1:1)),))</f>
        <v>40955</v>
      </c>
      <c r="C14" s="467" t="str">
        <f ca="1">IF(ROWS($1:1)&gt;COUNT(Dong12),"",IF(MID(OFFSET(TH!D$1,SMALL(Dong12,ROWS($1:1)),),4,1)="N",OFFSET(TH!D$1,SMALL(Dong12,ROWS($1:1)),),""))</f>
        <v>VL/N02</v>
      </c>
      <c r="D14" s="412" t="str">
        <f ca="1">IF(ROWS($1:1)&gt;COUNT(Dong12),"",IF(MID(OFFSET(TH!D$1,SMALL(Dong12,ROWS($1:1)),),4,1)="X",OFFSET(TH!D$1,SMALL(Dong12,ROWS($1:1)),),""))</f>
        <v/>
      </c>
      <c r="E14" s="699" t="str">
        <f ca="1">IF(ROWS($1:1)&gt;COUNT(Dong12),"",OFFSET(TH!H$1,SMALL(Dong12,ROWS($1:1)),))</f>
        <v>Cơ Sở Kéo Kẽm Thành Dũng</v>
      </c>
      <c r="F14" s="412">
        <f ca="1">B14</f>
        <v>40955</v>
      </c>
      <c r="G14" s="413">
        <f ca="1">IF(ROWS($1:1)&gt;COUNT(Dong12),0,IF(MID(OFFSET(TH!D$1,SMALL(Dong12,ROWS($1:1)),),4,1)="N",OFFSET(TH!I$1,SMALL(Dong12,ROWS($1:1)),),0))</f>
        <v>100</v>
      </c>
      <c r="H14" s="413">
        <f ca="1">IF(ROWS($1:1)&gt;COUNT(Dong12),0,IF(MID(OFFSET(TH!D$1,SMALL(Dong12,ROWS($1:1)),),4,1)="X",OFFSET(TH!I$1,SMALL(Dong12,ROWS($1:1)),),0))</f>
        <v>0</v>
      </c>
      <c r="I14" s="414">
        <f ca="1">IF(E14&lt;&gt;"",I13+G14-H14,0)</f>
        <v>150</v>
      </c>
      <c r="J14" s="415"/>
      <c r="K14" s="416"/>
    </row>
    <row r="15" spans="1:12" ht="16.5" customHeight="1">
      <c r="A15" s="417">
        <f ca="1">IF(B15&lt;&gt;"",A14+1,"")</f>
        <v>2</v>
      </c>
      <c r="B15" s="412">
        <f ca="1">IF(ROWS($1:2)&gt;COUNT(Dong12),"",OFFSET(TH!E$1,SMALL(Dong12,ROWS($1:2)),))</f>
        <v>41052</v>
      </c>
      <c r="C15" s="467" t="str">
        <f ca="1">IF(ROWS($1:2)&gt;COUNT(Dong12),"",IF(MID(OFFSET(TH!D$1,SMALL(Dong12,ROWS($1:2)),),4,1)="N",OFFSET(TH!D$1,SMALL(Dong12,ROWS($1:2)),),""))</f>
        <v>VL/N01</v>
      </c>
      <c r="D15" s="412" t="str">
        <f ca="1">IF(ROWS($1:2)&gt;COUNT(Dong12),"",IF(MID(OFFSET(TH!D$1,SMALL(Dong12,ROWS($1:2)),),4,1)="X",OFFSET(TH!D$1,SMALL(Dong12,ROWS($1:2)),),""))</f>
        <v/>
      </c>
      <c r="E15" s="699" t="str">
        <f ca="1">IF(ROWS($1:2)&gt;COUNT(Dong12),"",OFFSET(TH!H$1,SMALL(Dong12,ROWS($1:2)),))</f>
        <v>Cơ Sở Kéo Kẽm Thành Dũng</v>
      </c>
      <c r="F15" s="412">
        <f t="shared" ref="F15:F30" ca="1" si="0">B15</f>
        <v>41052</v>
      </c>
      <c r="G15" s="413">
        <f ca="1">IF(ROWS($1:2)&gt;COUNT(Dong12),0,IF(MID(OFFSET(TH!D$1,SMALL(Dong12,ROWS($1:2)),),4,1)="N",OFFSET(TH!I$1,SMALL(Dong12,ROWS($1:2)),),0))</f>
        <v>100</v>
      </c>
      <c r="H15" s="413">
        <f ca="1">IF(ROWS($1:2)&gt;COUNT(Dong12),0,IF(MID(OFFSET(TH!D$1,SMALL(Dong12,ROWS($1:2)),),4,1)="X",OFFSET(TH!I$1,SMALL(Dong12,ROWS($1:2)),),0))</f>
        <v>0</v>
      </c>
      <c r="I15" s="414">
        <f t="shared" ref="I15:I30" ca="1" si="1">IF(E15&lt;&gt;"",I14+G15-H15,0)</f>
        <v>250</v>
      </c>
      <c r="J15" s="415"/>
      <c r="K15" s="416"/>
    </row>
    <row r="16" spans="1:12" ht="16.5" customHeight="1">
      <c r="A16" s="417">
        <f t="shared" ref="A16:A30" ca="1" si="2">IF(B16&lt;&gt;"",A15+1,"")</f>
        <v>3</v>
      </c>
      <c r="B16" s="412">
        <f ca="1">IF(ROWS($1:3)&gt;COUNT(Dong12),"",OFFSET(TH!E$1,SMALL(Dong12,ROWS($1:3)),))</f>
        <v>41099</v>
      </c>
      <c r="C16" s="467" t="str">
        <f ca="1">IF(ROWS($1:3)&gt;COUNT(Dong12),"",IF(MID(OFFSET(TH!D$1,SMALL(Dong12,ROWS($1:3)),),4,1)="N",OFFSET(TH!D$1,SMALL(Dong12,ROWS($1:3)),),""))</f>
        <v>VL/N01</v>
      </c>
      <c r="D16" s="412" t="str">
        <f ca="1">IF(ROWS($1:3)&gt;COUNT(Dong12),"",IF(MID(OFFSET(TH!D$1,SMALL(Dong12,ROWS($1:3)),),4,1)="X",OFFSET(TH!D$1,SMALL(Dong12,ROWS($1:3)),),""))</f>
        <v/>
      </c>
      <c r="E16" s="699" t="str">
        <f ca="1">IF(ROWS($1:3)&gt;COUNT(Dong12),"",OFFSET(TH!H$1,SMALL(Dong12,ROWS($1:3)),))</f>
        <v>Cơ Sở Kéo Kẽm Thành Dũng</v>
      </c>
      <c r="F16" s="412">
        <f t="shared" ca="1" si="0"/>
        <v>41099</v>
      </c>
      <c r="G16" s="413">
        <f ca="1">IF(ROWS($1:3)&gt;COUNT(Dong12),0,IF(MID(OFFSET(TH!D$1,SMALL(Dong12,ROWS($1:3)),),4,1)="N",OFFSET(TH!I$1,SMALL(Dong12,ROWS($1:3)),),0))</f>
        <v>100</v>
      </c>
      <c r="H16" s="413">
        <f ca="1">IF(ROWS($1:3)&gt;COUNT(Dong12),0,IF(MID(OFFSET(TH!D$1,SMALL(Dong12,ROWS($1:3)),),4,1)="X",OFFSET(TH!I$1,SMALL(Dong12,ROWS($1:3)),),0))</f>
        <v>0</v>
      </c>
      <c r="I16" s="414">
        <f t="shared" ca="1" si="1"/>
        <v>350</v>
      </c>
      <c r="J16" s="415"/>
      <c r="K16" s="416"/>
    </row>
    <row r="17" spans="1:11" ht="16.5" customHeight="1">
      <c r="A17" s="417">
        <f t="shared" ca="1" si="2"/>
        <v>4</v>
      </c>
      <c r="B17" s="412">
        <f ca="1">IF(ROWS($1:4)&gt;COUNT(Dong12),"",OFFSET(TH!E$1,SMALL(Dong12,ROWS($1:4)),))</f>
        <v>41156</v>
      </c>
      <c r="C17" s="467" t="str">
        <f ca="1">IF(ROWS($1:4)&gt;COUNT(Dong12),"",IF(MID(OFFSET(TH!D$1,SMALL(Dong12,ROWS($1:4)),),4,1)="N",OFFSET(TH!D$1,SMALL(Dong12,ROWS($1:4)),),""))</f>
        <v>VL/N02</v>
      </c>
      <c r="D17" s="412" t="str">
        <f ca="1">IF(ROWS($1:4)&gt;COUNT(Dong12),"",IF(MID(OFFSET(TH!D$1,SMALL(Dong12,ROWS($1:4)),),4,1)="X",OFFSET(TH!D$1,SMALL(Dong12,ROWS($1:4)),),""))</f>
        <v/>
      </c>
      <c r="E17" s="699" t="str">
        <f ca="1">IF(ROWS($1:4)&gt;COUNT(Dong12),"",OFFSET(TH!H$1,SMALL(Dong12,ROWS($1:4)),))</f>
        <v>Cơ Sở Kéo Kẽm Thành Dũng</v>
      </c>
      <c r="F17" s="412">
        <f t="shared" ca="1" si="0"/>
        <v>41156</v>
      </c>
      <c r="G17" s="413">
        <f ca="1">IF(ROWS($1:4)&gt;COUNT(Dong12),0,IF(MID(OFFSET(TH!D$1,SMALL(Dong12,ROWS($1:4)),),4,1)="N",OFFSET(TH!I$1,SMALL(Dong12,ROWS($1:4)),),0))</f>
        <v>100</v>
      </c>
      <c r="H17" s="413">
        <f ca="1">IF(ROWS($1:4)&gt;COUNT(Dong12),0,IF(MID(OFFSET(TH!D$1,SMALL(Dong12,ROWS($1:4)),),4,1)="X",OFFSET(TH!I$1,SMALL(Dong12,ROWS($1:4)),),0))</f>
        <v>0</v>
      </c>
      <c r="I17" s="414">
        <f t="shared" ca="1" si="1"/>
        <v>450</v>
      </c>
      <c r="J17" s="415"/>
      <c r="K17" s="416"/>
    </row>
    <row r="18" spans="1:11" ht="16.5" customHeight="1">
      <c r="A18" s="417">
        <f t="shared" ca="1" si="2"/>
        <v>5</v>
      </c>
      <c r="B18" s="412">
        <f ca="1">IF(ROWS($1:5)&gt;COUNT(Dong12),"",OFFSET(TH!E$1,SMALL(Dong12,ROWS($1:5)),))</f>
        <v>40910</v>
      </c>
      <c r="C18" s="467" t="str">
        <f ca="1">IF(ROWS($1:5)&gt;COUNT(Dong12),"",IF(MID(OFFSET(TH!D$1,SMALL(Dong12,ROWS($1:5)),),4,1)="N",OFFSET(TH!D$1,SMALL(Dong12,ROWS($1:5)),),""))</f>
        <v/>
      </c>
      <c r="D18" s="412" t="str">
        <f ca="1">IF(ROWS($1:5)&gt;COUNT(Dong12),"",IF(MID(OFFSET(TH!D$1,SMALL(Dong12,ROWS($1:5)),),4,1)="X",OFFSET(TH!D$1,SMALL(Dong12,ROWS($1:5)),),""))</f>
        <v>VL/X01</v>
      </c>
      <c r="E18" s="699" t="str">
        <f ca="1">IF(ROWS($1:5)&gt;COUNT(Dong12),"",OFFSET(TH!H$1,SMALL(Dong12,ROWS($1:5)),))</f>
        <v>Xuất sản xuất</v>
      </c>
      <c r="F18" s="412">
        <f t="shared" ca="1" si="0"/>
        <v>40910</v>
      </c>
      <c r="G18" s="413">
        <f ca="1">IF(ROWS($1:5)&gt;COUNT(Dong12),0,IF(MID(OFFSET(TH!D$1,SMALL(Dong12,ROWS($1:5)),),4,1)="N",OFFSET(TH!I$1,SMALL(Dong12,ROWS($1:5)),),0))</f>
        <v>0</v>
      </c>
      <c r="H18" s="413">
        <f ca="1">IF(ROWS($1:5)&gt;COUNT(Dong12),0,IF(MID(OFFSET(TH!D$1,SMALL(Dong12,ROWS($1:5)),),4,1)="X",OFFSET(TH!I$1,SMALL(Dong12,ROWS($1:5)),),0))</f>
        <v>50</v>
      </c>
      <c r="I18" s="414">
        <f t="shared" ca="1" si="1"/>
        <v>400</v>
      </c>
      <c r="J18" s="415"/>
      <c r="K18" s="416"/>
    </row>
    <row r="19" spans="1:11" ht="16.5" customHeight="1">
      <c r="A19" s="417">
        <f t="shared" ca="1" si="2"/>
        <v>6</v>
      </c>
      <c r="B19" s="412">
        <f ca="1">IF(ROWS($1:6)&gt;COUNT(Dong12),"",OFFSET(TH!E$1,SMALL(Dong12,ROWS($1:6)),))</f>
        <v>40924</v>
      </c>
      <c r="C19" s="467" t="str">
        <f ca="1">IF(ROWS($1:6)&gt;COUNT(Dong12),"",IF(MID(OFFSET(TH!D$1,SMALL(Dong12,ROWS($1:6)),),4,1)="N",OFFSET(TH!D$1,SMALL(Dong12,ROWS($1:6)),),""))</f>
        <v/>
      </c>
      <c r="D19" s="412" t="str">
        <f ca="1">IF(ROWS($1:6)&gt;COUNT(Dong12),"",IF(MID(OFFSET(TH!D$1,SMALL(Dong12,ROWS($1:6)),),4,1)="X",OFFSET(TH!D$1,SMALL(Dong12,ROWS($1:6)),),""))</f>
        <v>VL/X02</v>
      </c>
      <c r="E19" s="699" t="str">
        <f ca="1">IF(ROWS($1:6)&gt;COUNT(Dong12),"",OFFSET(TH!H$1,SMALL(Dong12,ROWS($1:6)),))</f>
        <v>Xuất sản xuất</v>
      </c>
      <c r="F19" s="412">
        <f t="shared" ca="1" si="0"/>
        <v>40924</v>
      </c>
      <c r="G19" s="413">
        <f ca="1">IF(ROWS($1:6)&gt;COUNT(Dong12),0,IF(MID(OFFSET(TH!D$1,SMALL(Dong12,ROWS($1:6)),),4,1)="N",OFFSET(TH!I$1,SMALL(Dong12,ROWS($1:6)),),0))</f>
        <v>0</v>
      </c>
      <c r="H19" s="413">
        <f ca="1">IF(ROWS($1:6)&gt;COUNT(Dong12),0,IF(MID(OFFSET(TH!D$1,SMALL(Dong12,ROWS($1:6)),),4,1)="X",OFFSET(TH!I$1,SMALL(Dong12,ROWS($1:6)),),0))</f>
        <v>50</v>
      </c>
      <c r="I19" s="414">
        <f t="shared" ca="1" si="1"/>
        <v>350</v>
      </c>
      <c r="J19" s="415"/>
      <c r="K19" s="416"/>
    </row>
    <row r="20" spans="1:11" ht="16.5" customHeight="1">
      <c r="A20" s="417">
        <f t="shared" ca="1" si="2"/>
        <v>7</v>
      </c>
      <c r="B20" s="412">
        <f ca="1">IF(ROWS($1:7)&gt;COUNT(Dong12),"",OFFSET(TH!E$1,SMALL(Dong12,ROWS($1:7)),))</f>
        <v>41000</v>
      </c>
      <c r="C20" s="467" t="str">
        <f ca="1">IF(ROWS($1:7)&gt;COUNT(Dong12),"",IF(MID(OFFSET(TH!D$1,SMALL(Dong12,ROWS($1:7)),),4,1)="N",OFFSET(TH!D$1,SMALL(Dong12,ROWS($1:7)),),""))</f>
        <v/>
      </c>
      <c r="D20" s="412" t="str">
        <f ca="1">IF(ROWS($1:7)&gt;COUNT(Dong12),"",IF(MID(OFFSET(TH!D$1,SMALL(Dong12,ROWS($1:7)),),4,1)="X",OFFSET(TH!D$1,SMALL(Dong12,ROWS($1:7)),),""))</f>
        <v>VL/X01</v>
      </c>
      <c r="E20" s="699" t="str">
        <f ca="1">IF(ROWS($1:7)&gt;COUNT(Dong12),"",OFFSET(TH!H$1,SMALL(Dong12,ROWS($1:7)),))</f>
        <v>Xuất sản xuất</v>
      </c>
      <c r="F20" s="412">
        <f t="shared" ca="1" si="0"/>
        <v>41000</v>
      </c>
      <c r="G20" s="413">
        <f ca="1">IF(ROWS($1:7)&gt;COUNT(Dong12),0,IF(MID(OFFSET(TH!D$1,SMALL(Dong12,ROWS($1:7)),),4,1)="N",OFFSET(TH!I$1,SMALL(Dong12,ROWS($1:7)),),0))</f>
        <v>0</v>
      </c>
      <c r="H20" s="413">
        <f ca="1">IF(ROWS($1:7)&gt;COUNT(Dong12),0,IF(MID(OFFSET(TH!D$1,SMALL(Dong12,ROWS($1:7)),),4,1)="X",OFFSET(TH!I$1,SMALL(Dong12,ROWS($1:7)),),0))</f>
        <v>50</v>
      </c>
      <c r="I20" s="414">
        <f t="shared" ca="1" si="1"/>
        <v>300</v>
      </c>
      <c r="J20" s="415"/>
      <c r="K20" s="416"/>
    </row>
    <row r="21" spans="1:11" ht="16.5" customHeight="1">
      <c r="A21" s="417">
        <f t="shared" ca="1" si="2"/>
        <v>8</v>
      </c>
      <c r="B21" s="412">
        <f ca="1">IF(ROWS($1:8)&gt;COUNT(Dong12),"",OFFSET(TH!E$1,SMALL(Dong12,ROWS($1:8)),))</f>
        <v>41052</v>
      </c>
      <c r="C21" s="467" t="str">
        <f ca="1">IF(ROWS($1:8)&gt;COUNT(Dong12),"",IF(MID(OFFSET(TH!D$1,SMALL(Dong12,ROWS($1:8)),),4,1)="N",OFFSET(TH!D$1,SMALL(Dong12,ROWS($1:8)),),""))</f>
        <v/>
      </c>
      <c r="D21" s="412" t="str">
        <f ca="1">IF(ROWS($1:8)&gt;COUNT(Dong12),"",IF(MID(OFFSET(TH!D$1,SMALL(Dong12,ROWS($1:8)),),4,1)="X",OFFSET(TH!D$1,SMALL(Dong12,ROWS($1:8)),),""))</f>
        <v>VL/X02</v>
      </c>
      <c r="E21" s="699" t="str">
        <f ca="1">IF(ROWS($1:8)&gt;COUNT(Dong12),"",OFFSET(TH!H$1,SMALL(Dong12,ROWS($1:8)),))</f>
        <v>Xuất sản xuất</v>
      </c>
      <c r="F21" s="412">
        <f t="shared" ca="1" si="0"/>
        <v>41052</v>
      </c>
      <c r="G21" s="413">
        <f ca="1">IF(ROWS($1:8)&gt;COUNT(Dong12),0,IF(MID(OFFSET(TH!D$1,SMALL(Dong12,ROWS($1:8)),),4,1)="N",OFFSET(TH!I$1,SMALL(Dong12,ROWS($1:8)),),0))</f>
        <v>0</v>
      </c>
      <c r="H21" s="413">
        <f ca="1">IF(ROWS($1:8)&gt;COUNT(Dong12),0,IF(MID(OFFSET(TH!D$1,SMALL(Dong12,ROWS($1:8)),),4,1)="X",OFFSET(TH!I$1,SMALL(Dong12,ROWS($1:8)),),0))</f>
        <v>50</v>
      </c>
      <c r="I21" s="414">
        <f t="shared" ca="1" si="1"/>
        <v>250</v>
      </c>
      <c r="J21" s="415"/>
      <c r="K21" s="416"/>
    </row>
    <row r="22" spans="1:11" ht="16.5" customHeight="1">
      <c r="A22" s="417">
        <f t="shared" ca="1" si="2"/>
        <v>9</v>
      </c>
      <c r="B22" s="412">
        <f ca="1">IF(ROWS($1:9)&gt;COUNT(Dong12),"",OFFSET(TH!E$1,SMALL(Dong12,ROWS($1:9)),))</f>
        <v>41099</v>
      </c>
      <c r="C22" s="467" t="str">
        <f ca="1">IF(ROWS($1:9)&gt;COUNT(Dong12),"",IF(MID(OFFSET(TH!D$1,SMALL(Dong12,ROWS($1:9)),),4,1)="N",OFFSET(TH!D$1,SMALL(Dong12,ROWS($1:9)),),""))</f>
        <v/>
      </c>
      <c r="D22" s="412" t="str">
        <f ca="1">IF(ROWS($1:9)&gt;COUNT(Dong12),"",IF(MID(OFFSET(TH!D$1,SMALL(Dong12,ROWS($1:9)),),4,1)="X",OFFSET(TH!D$1,SMALL(Dong12,ROWS($1:9)),),""))</f>
        <v>VL/X01</v>
      </c>
      <c r="E22" s="699" t="str">
        <f ca="1">IF(ROWS($1:9)&gt;COUNT(Dong12),"",OFFSET(TH!H$1,SMALL(Dong12,ROWS($1:9)),))</f>
        <v>Xuất sản xuất</v>
      </c>
      <c r="F22" s="412">
        <f t="shared" ca="1" si="0"/>
        <v>41099</v>
      </c>
      <c r="G22" s="413">
        <f ca="1">IF(ROWS($1:9)&gt;COUNT(Dong12),0,IF(MID(OFFSET(TH!D$1,SMALL(Dong12,ROWS($1:9)),),4,1)="N",OFFSET(TH!I$1,SMALL(Dong12,ROWS($1:9)),),0))</f>
        <v>0</v>
      </c>
      <c r="H22" s="413">
        <f ca="1">IF(ROWS($1:9)&gt;COUNT(Dong12),0,IF(MID(OFFSET(TH!D$1,SMALL(Dong12,ROWS($1:9)),),4,1)="X",OFFSET(TH!I$1,SMALL(Dong12,ROWS($1:9)),),0))</f>
        <v>100</v>
      </c>
      <c r="I22" s="414">
        <f t="shared" ca="1" si="1"/>
        <v>150</v>
      </c>
      <c r="J22" s="415"/>
      <c r="K22" s="416"/>
    </row>
    <row r="23" spans="1:11" ht="16.5" customHeight="1">
      <c r="A23" s="417">
        <f t="shared" ca="1" si="2"/>
        <v>10</v>
      </c>
      <c r="B23" s="412">
        <f ca="1">IF(ROWS($1:10)&gt;COUNT(Dong12),"",OFFSET(TH!E$1,SMALL(Dong12,ROWS($1:10)),))</f>
        <v>41183</v>
      </c>
      <c r="C23" s="467" t="str">
        <f ca="1">IF(ROWS($1:10)&gt;COUNT(Dong12),"",IF(MID(OFFSET(TH!D$1,SMALL(Dong12,ROWS($1:10)),),4,1)="N",OFFSET(TH!D$1,SMALL(Dong12,ROWS($1:10)),),""))</f>
        <v/>
      </c>
      <c r="D23" s="412" t="str">
        <f ca="1">IF(ROWS($1:10)&gt;COUNT(Dong12),"",IF(MID(OFFSET(TH!D$1,SMALL(Dong12,ROWS($1:10)),),4,1)="X",OFFSET(TH!D$1,SMALL(Dong12,ROWS($1:10)),),""))</f>
        <v>VL/X01</v>
      </c>
      <c r="E23" s="699" t="str">
        <f ca="1">IF(ROWS($1:10)&gt;COUNT(Dong12),"",OFFSET(TH!H$1,SMALL(Dong12,ROWS($1:10)),))</f>
        <v>Xuất sản xuất</v>
      </c>
      <c r="F23" s="412">
        <f t="shared" ca="1" si="0"/>
        <v>41183</v>
      </c>
      <c r="G23" s="413">
        <f ca="1">IF(ROWS($1:10)&gt;COUNT(Dong12),0,IF(MID(OFFSET(TH!D$1,SMALL(Dong12,ROWS($1:10)),),4,1)="N",OFFSET(TH!I$1,SMALL(Dong12,ROWS($1:10)),),0))</f>
        <v>0</v>
      </c>
      <c r="H23" s="413">
        <f ca="1">IF(ROWS($1:10)&gt;COUNT(Dong12),0,IF(MID(OFFSET(TH!D$1,SMALL(Dong12,ROWS($1:10)),),4,1)="X",OFFSET(TH!I$1,SMALL(Dong12,ROWS($1:10)),),0))</f>
        <v>100</v>
      </c>
      <c r="I23" s="414">
        <f t="shared" ca="1" si="1"/>
        <v>50</v>
      </c>
      <c r="J23" s="415"/>
      <c r="K23" s="416"/>
    </row>
    <row r="24" spans="1:11" ht="16.5" customHeight="1">
      <c r="A24" s="417" t="str">
        <f t="shared" ca="1" si="2"/>
        <v/>
      </c>
      <c r="B24" s="412" t="str">
        <f ca="1">IF(ROWS($1:11)&gt;COUNT(Dong12),"",OFFSET(TH!E$1,SMALL(Dong12,ROWS($1:11)),))</f>
        <v/>
      </c>
      <c r="C24" s="467" t="str">
        <f ca="1">IF(ROWS($1:11)&gt;COUNT(Dong12),"",IF(MID(OFFSET(TH!D$1,SMALL(Dong12,ROWS($1:11)),),4,1)="N",OFFSET(TH!D$1,SMALL(Dong12,ROWS($1:11)),),""))</f>
        <v/>
      </c>
      <c r="D24" s="412" t="str">
        <f ca="1">IF(ROWS($1:11)&gt;COUNT(Dong12),"",IF(MID(OFFSET(TH!D$1,SMALL(Dong12,ROWS($1:11)),),4,1)="X",OFFSET(TH!D$1,SMALL(Dong12,ROWS($1:11)),),""))</f>
        <v/>
      </c>
      <c r="E24" s="699" t="str">
        <f ca="1">IF(ROWS($1:11)&gt;COUNT(Dong12),"",OFFSET(TH!H$1,SMALL(Dong12,ROWS($1:11)),))</f>
        <v/>
      </c>
      <c r="F24" s="412" t="str">
        <f t="shared" ca="1" si="0"/>
        <v/>
      </c>
      <c r="G24" s="413">
        <f ca="1">IF(ROWS($1:11)&gt;COUNT(Dong12),0,IF(MID(OFFSET(TH!D$1,SMALL(Dong12,ROWS($1:11)),),4,1)="N",OFFSET(TH!I$1,SMALL(Dong12,ROWS($1:11)),),0))</f>
        <v>0</v>
      </c>
      <c r="H24" s="413">
        <f ca="1">IF(ROWS($1:11)&gt;COUNT(Dong12),0,IF(MID(OFFSET(TH!D$1,SMALL(Dong12,ROWS($1:11)),),4,1)="X",OFFSET(TH!I$1,SMALL(Dong12,ROWS($1:11)),),0))</f>
        <v>0</v>
      </c>
      <c r="I24" s="414">
        <f t="shared" ca="1" si="1"/>
        <v>0</v>
      </c>
      <c r="J24" s="415"/>
      <c r="K24" s="416"/>
    </row>
    <row r="25" spans="1:11" ht="16.5" customHeight="1">
      <c r="A25" s="417" t="str">
        <f t="shared" ca="1" si="2"/>
        <v/>
      </c>
      <c r="B25" s="412" t="str">
        <f ca="1">IF(ROWS($1:12)&gt;COUNT(Dong12),"",OFFSET(TH!E$1,SMALL(Dong12,ROWS($1:12)),))</f>
        <v/>
      </c>
      <c r="C25" s="467" t="str">
        <f ca="1">IF(ROWS($1:12)&gt;COUNT(Dong12),"",IF(MID(OFFSET(TH!D$1,SMALL(Dong12,ROWS($1:12)),),4,1)="N",OFFSET(TH!D$1,SMALL(Dong12,ROWS($1:12)),),""))</f>
        <v/>
      </c>
      <c r="D25" s="412" t="str">
        <f ca="1">IF(ROWS($1:12)&gt;COUNT(Dong12),"",IF(MID(OFFSET(TH!D$1,SMALL(Dong12,ROWS($1:12)),),4,1)="X",OFFSET(TH!D$1,SMALL(Dong12,ROWS($1:12)),),""))</f>
        <v/>
      </c>
      <c r="E25" s="699" t="str">
        <f ca="1">IF(ROWS($1:12)&gt;COUNT(Dong12),"",OFFSET(TH!H$1,SMALL(Dong12,ROWS($1:12)),))</f>
        <v/>
      </c>
      <c r="F25" s="412" t="str">
        <f t="shared" ca="1" si="0"/>
        <v/>
      </c>
      <c r="G25" s="413">
        <f ca="1">IF(ROWS($1:12)&gt;COUNT(Dong12),0,IF(MID(OFFSET(TH!D$1,SMALL(Dong12,ROWS($1:12)),),4,1)="N",OFFSET(TH!I$1,SMALL(Dong12,ROWS($1:12)),),0))</f>
        <v>0</v>
      </c>
      <c r="H25" s="413">
        <f ca="1">IF(ROWS($1:12)&gt;COUNT(Dong12),0,IF(MID(OFFSET(TH!D$1,SMALL(Dong12,ROWS($1:12)),),4,1)="X",OFFSET(TH!I$1,SMALL(Dong12,ROWS($1:12)),),0))</f>
        <v>0</v>
      </c>
      <c r="I25" s="414">
        <f t="shared" ca="1" si="1"/>
        <v>0</v>
      </c>
      <c r="J25" s="415"/>
      <c r="K25" s="416"/>
    </row>
    <row r="26" spans="1:11" ht="16.5" customHeight="1">
      <c r="A26" s="417" t="str">
        <f t="shared" ca="1" si="2"/>
        <v/>
      </c>
      <c r="B26" s="412" t="str">
        <f ca="1">IF(ROWS($1:13)&gt;COUNT(Dong12),"",OFFSET(TH!E$1,SMALL(Dong12,ROWS($1:13)),))</f>
        <v/>
      </c>
      <c r="C26" s="467" t="str">
        <f ca="1">IF(ROWS($1:13)&gt;COUNT(Dong12),"",IF(MID(OFFSET(TH!D$1,SMALL(Dong12,ROWS($1:13)),),4,1)="N",OFFSET(TH!D$1,SMALL(Dong12,ROWS($1:13)),),""))</f>
        <v/>
      </c>
      <c r="D26" s="412" t="str">
        <f ca="1">IF(ROWS($1:13)&gt;COUNT(Dong12),"",IF(MID(OFFSET(TH!D$1,SMALL(Dong12,ROWS($1:13)),),4,1)="X",OFFSET(TH!D$1,SMALL(Dong12,ROWS($1:13)),),""))</f>
        <v/>
      </c>
      <c r="E26" s="699" t="str">
        <f ca="1">IF(ROWS($1:13)&gt;COUNT(Dong12),"",OFFSET(TH!H$1,SMALL(Dong12,ROWS($1:13)),))</f>
        <v/>
      </c>
      <c r="F26" s="412" t="str">
        <f t="shared" ca="1" si="0"/>
        <v/>
      </c>
      <c r="G26" s="413">
        <f ca="1">IF(ROWS($1:13)&gt;COUNT(Dong12),0,IF(MID(OFFSET(TH!D$1,SMALL(Dong12,ROWS($1:13)),),4,1)="N",OFFSET(TH!I$1,SMALL(Dong12,ROWS($1:13)),),0))</f>
        <v>0</v>
      </c>
      <c r="H26" s="413">
        <f ca="1">IF(ROWS($1:13)&gt;COUNT(Dong12),0,IF(MID(OFFSET(TH!D$1,SMALL(Dong12,ROWS($1:13)),),4,1)="X",OFFSET(TH!I$1,SMALL(Dong12,ROWS($1:13)),),0))</f>
        <v>0</v>
      </c>
      <c r="I26" s="414">
        <f t="shared" ca="1" si="1"/>
        <v>0</v>
      </c>
      <c r="J26" s="415"/>
      <c r="K26" s="416"/>
    </row>
    <row r="27" spans="1:11" ht="16.5" customHeight="1">
      <c r="A27" s="417" t="str">
        <f t="shared" ca="1" si="2"/>
        <v/>
      </c>
      <c r="B27" s="412" t="str">
        <f ca="1">IF(ROWS($1:14)&gt;COUNT(Dong12),"",OFFSET(TH!E$1,SMALL(Dong12,ROWS($1:14)),))</f>
        <v/>
      </c>
      <c r="C27" s="467" t="str">
        <f ca="1">IF(ROWS($1:14)&gt;COUNT(Dong12),"",IF(MID(OFFSET(TH!D$1,SMALL(Dong12,ROWS($1:14)),),4,1)="N",OFFSET(TH!D$1,SMALL(Dong12,ROWS($1:14)),),""))</f>
        <v/>
      </c>
      <c r="D27" s="412" t="str">
        <f ca="1">IF(ROWS($1:14)&gt;COUNT(Dong12),"",IF(MID(OFFSET(TH!D$1,SMALL(Dong12,ROWS($1:14)),),4,1)="X",OFFSET(TH!D$1,SMALL(Dong12,ROWS($1:14)),),""))</f>
        <v/>
      </c>
      <c r="E27" s="699" t="str">
        <f ca="1">IF(ROWS($1:14)&gt;COUNT(Dong12),"",OFFSET(TH!H$1,SMALL(Dong12,ROWS($1:14)),))</f>
        <v/>
      </c>
      <c r="F27" s="412" t="str">
        <f t="shared" ca="1" si="0"/>
        <v/>
      </c>
      <c r="G27" s="413">
        <f ca="1">IF(ROWS($1:14)&gt;COUNT(Dong12),0,IF(MID(OFFSET(TH!D$1,SMALL(Dong12,ROWS($1:14)),),4,1)="N",OFFSET(TH!I$1,SMALL(Dong12,ROWS($1:14)),),0))</f>
        <v>0</v>
      </c>
      <c r="H27" s="413">
        <f ca="1">IF(ROWS($1:14)&gt;COUNT(Dong12),0,IF(MID(OFFSET(TH!D$1,SMALL(Dong12,ROWS($1:14)),),4,1)="X",OFFSET(TH!I$1,SMALL(Dong12,ROWS($1:14)),),0))</f>
        <v>0</v>
      </c>
      <c r="I27" s="414">
        <f t="shared" ca="1" si="1"/>
        <v>0</v>
      </c>
      <c r="J27" s="415"/>
      <c r="K27" s="416"/>
    </row>
    <row r="28" spans="1:11" ht="16.5" customHeight="1">
      <c r="A28" s="417" t="str">
        <f t="shared" ca="1" si="2"/>
        <v/>
      </c>
      <c r="B28" s="412" t="str">
        <f ca="1">IF(ROWS($1:15)&gt;COUNT(Dong12),"",OFFSET(TH!E$1,SMALL(Dong12,ROWS($1:15)),))</f>
        <v/>
      </c>
      <c r="C28" s="467" t="str">
        <f ca="1">IF(ROWS($1:15)&gt;COUNT(Dong12),"",IF(MID(OFFSET(TH!D$1,SMALL(Dong12,ROWS($1:15)),),4,1)="N",OFFSET(TH!D$1,SMALL(Dong12,ROWS($1:15)),),""))</f>
        <v/>
      </c>
      <c r="D28" s="412" t="str">
        <f ca="1">IF(ROWS($1:15)&gt;COUNT(Dong12),"",IF(MID(OFFSET(TH!D$1,SMALL(Dong12,ROWS($1:15)),),4,1)="X",OFFSET(TH!D$1,SMALL(Dong12,ROWS($1:15)),),""))</f>
        <v/>
      </c>
      <c r="E28" s="699" t="str">
        <f ca="1">IF(ROWS($1:15)&gt;COUNT(Dong12),"",OFFSET(TH!H$1,SMALL(Dong12,ROWS($1:15)),))</f>
        <v/>
      </c>
      <c r="F28" s="412" t="str">
        <f t="shared" ca="1" si="0"/>
        <v/>
      </c>
      <c r="G28" s="413">
        <f ca="1">IF(ROWS($1:15)&gt;COUNT(Dong12),0,IF(MID(OFFSET(TH!D$1,SMALL(Dong12,ROWS($1:15)),),4,1)="N",OFFSET(TH!I$1,SMALL(Dong12,ROWS($1:15)),),0))</f>
        <v>0</v>
      </c>
      <c r="H28" s="413">
        <f ca="1">IF(ROWS($1:15)&gt;COUNT(Dong12),0,IF(MID(OFFSET(TH!D$1,SMALL(Dong12,ROWS($1:15)),),4,1)="X",OFFSET(TH!I$1,SMALL(Dong12,ROWS($1:15)),),0))</f>
        <v>0</v>
      </c>
      <c r="I28" s="414">
        <f t="shared" ca="1" si="1"/>
        <v>0</v>
      </c>
      <c r="J28" s="415"/>
      <c r="K28" s="416"/>
    </row>
    <row r="29" spans="1:11" ht="16.5" customHeight="1">
      <c r="A29" s="417" t="str">
        <f t="shared" ca="1" si="2"/>
        <v/>
      </c>
      <c r="B29" s="412" t="str">
        <f ca="1">IF(ROWS($1:16)&gt;COUNT(Dong12),"",OFFSET(TH!E$1,SMALL(Dong12,ROWS($1:16)),))</f>
        <v/>
      </c>
      <c r="C29" s="467" t="str">
        <f ca="1">IF(ROWS($1:16)&gt;COUNT(Dong12),"",IF(MID(OFFSET(TH!D$1,SMALL(Dong12,ROWS($1:16)),),4,1)="N",OFFSET(TH!D$1,SMALL(Dong12,ROWS($1:16)),),""))</f>
        <v/>
      </c>
      <c r="D29" s="412" t="str">
        <f ca="1">IF(ROWS($1:16)&gt;COUNT(Dong12),"",IF(MID(OFFSET(TH!D$1,SMALL(Dong12,ROWS($1:16)),),4,1)="X",OFFSET(TH!D$1,SMALL(Dong12,ROWS($1:16)),),""))</f>
        <v/>
      </c>
      <c r="E29" s="699" t="str">
        <f ca="1">IF(ROWS($1:16)&gt;COUNT(Dong12),"",OFFSET(TH!H$1,SMALL(Dong12,ROWS($1:16)),))</f>
        <v/>
      </c>
      <c r="F29" s="412" t="str">
        <f t="shared" ca="1" si="0"/>
        <v/>
      </c>
      <c r="G29" s="413">
        <f ca="1">IF(ROWS($1:16)&gt;COUNT(Dong12),0,IF(MID(OFFSET(TH!D$1,SMALL(Dong12,ROWS($1:16)),),4,1)="N",OFFSET(TH!I$1,SMALL(Dong12,ROWS($1:16)),),0))</f>
        <v>0</v>
      </c>
      <c r="H29" s="413">
        <f ca="1">IF(ROWS($1:16)&gt;COUNT(Dong12),0,IF(MID(OFFSET(TH!D$1,SMALL(Dong12,ROWS($1:16)),),4,1)="X",OFFSET(TH!I$1,SMALL(Dong12,ROWS($1:16)),),0))</f>
        <v>0</v>
      </c>
      <c r="I29" s="414">
        <f t="shared" ca="1" si="1"/>
        <v>0</v>
      </c>
      <c r="J29" s="415"/>
      <c r="K29" s="416"/>
    </row>
    <row r="30" spans="1:11" ht="16.5" customHeight="1">
      <c r="A30" s="417" t="str">
        <f t="shared" ca="1" si="2"/>
        <v/>
      </c>
      <c r="B30" s="412" t="str">
        <f ca="1">IF(ROWS($1:17)&gt;COUNT(Dong12),"",OFFSET(TH!E$1,SMALL(Dong12,ROWS($1:17)),))</f>
        <v/>
      </c>
      <c r="C30" s="467" t="str">
        <f ca="1">IF(ROWS($1:17)&gt;COUNT(Dong12),"",IF(MID(OFFSET(TH!D$1,SMALL(Dong12,ROWS($1:17)),),4,1)="N",OFFSET(TH!D$1,SMALL(Dong12,ROWS($1:17)),),""))</f>
        <v/>
      </c>
      <c r="D30" s="412" t="str">
        <f ca="1">IF(ROWS($1:17)&gt;COUNT(Dong12),"",IF(MID(OFFSET(TH!D$1,SMALL(Dong12,ROWS($1:17)),),4,1)="X",OFFSET(TH!D$1,SMALL(Dong12,ROWS($1:17)),),""))</f>
        <v/>
      </c>
      <c r="E30" s="699" t="str">
        <f ca="1">IF(ROWS($1:17)&gt;COUNT(Dong12),"",OFFSET(TH!H$1,SMALL(Dong12,ROWS($1:17)),))</f>
        <v/>
      </c>
      <c r="F30" s="412" t="str">
        <f t="shared" ca="1" si="0"/>
        <v/>
      </c>
      <c r="G30" s="413">
        <f ca="1">IF(ROWS($1:17)&gt;COUNT(Dong12),0,IF(MID(OFFSET(TH!D$1,SMALL(Dong12,ROWS($1:17)),),4,1)="N",OFFSET(TH!I$1,SMALL(Dong12,ROWS($1:17)),),0))</f>
        <v>0</v>
      </c>
      <c r="H30" s="413">
        <f ca="1">IF(ROWS($1:17)&gt;COUNT(Dong12),0,IF(MID(OFFSET(TH!D$1,SMALL(Dong12,ROWS($1:17)),),4,1)="X",OFFSET(TH!I$1,SMALL(Dong12,ROWS($1:17)),),0))</f>
        <v>0</v>
      </c>
      <c r="I30" s="414">
        <f t="shared" ca="1" si="1"/>
        <v>0</v>
      </c>
      <c r="J30" s="415"/>
      <c r="K30" s="416"/>
    </row>
    <row r="31" spans="1:11" ht="16.5" customHeight="1">
      <c r="A31" s="418" t="str">
        <f>IF(D31&lt;&gt;"",A21+1,"")</f>
        <v/>
      </c>
      <c r="B31" s="419"/>
      <c r="C31" s="420"/>
      <c r="D31" s="420"/>
      <c r="E31" s="700"/>
      <c r="F31" s="419"/>
      <c r="G31" s="421"/>
      <c r="H31" s="421"/>
      <c r="I31" s="421"/>
      <c r="J31" s="422"/>
      <c r="K31" s="416"/>
    </row>
    <row r="32" spans="1:11" ht="16.5" customHeight="1">
      <c r="A32" s="406"/>
      <c r="B32" s="423"/>
      <c r="C32" s="406"/>
      <c r="D32" s="406"/>
      <c r="E32" s="407" t="s">
        <v>255</v>
      </c>
      <c r="F32" s="424" t="s">
        <v>19</v>
      </c>
      <c r="G32" s="425">
        <f ca="1">SUM(G14:G31)</f>
        <v>400</v>
      </c>
      <c r="H32" s="425">
        <f ca="1">SUM(H14:H31)</f>
        <v>400</v>
      </c>
      <c r="I32" s="425">
        <f ca="1">I13+G32-H32</f>
        <v>50</v>
      </c>
      <c r="J32" s="406" t="s">
        <v>19</v>
      </c>
      <c r="K32" s="426"/>
    </row>
    <row r="33" spans="1:11" ht="12.75" customHeight="1">
      <c r="A33" s="427"/>
      <c r="B33" s="383"/>
      <c r="C33" s="427"/>
      <c r="D33" s="427"/>
      <c r="E33" s="391"/>
      <c r="F33" s="383"/>
      <c r="G33" s="392"/>
      <c r="H33" s="392"/>
      <c r="I33" s="392"/>
      <c r="J33" s="379"/>
      <c r="K33" s="379"/>
    </row>
    <row r="34" spans="1:11" ht="15">
      <c r="A34" s="428" t="s">
        <v>256</v>
      </c>
      <c r="B34" s="428"/>
      <c r="C34" s="429"/>
      <c r="D34" s="429"/>
      <c r="E34" s="391"/>
      <c r="F34" s="383"/>
      <c r="G34" s="392"/>
      <c r="H34" s="392"/>
      <c r="I34" s="392"/>
      <c r="J34" s="379"/>
      <c r="K34" s="379"/>
    </row>
    <row r="35" spans="1:11" ht="15">
      <c r="A35" s="106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61"/>
      <c r="C35" s="1061"/>
      <c r="D35" s="1061"/>
      <c r="E35" s="1061"/>
      <c r="F35" s="383"/>
      <c r="G35" s="392"/>
      <c r="H35" s="392"/>
      <c r="I35" s="392"/>
      <c r="J35" s="379"/>
      <c r="K35" s="379"/>
    </row>
    <row r="36" spans="1:11" ht="15">
      <c r="A36" s="430"/>
      <c r="B36" s="431"/>
      <c r="C36" s="432"/>
      <c r="D36" s="427"/>
      <c r="E36" s="391"/>
      <c r="F36" s="383"/>
      <c r="H36" s="309"/>
      <c r="I36" s="568" t="s">
        <v>218</v>
      </c>
      <c r="J36" s="309"/>
      <c r="K36" s="310"/>
    </row>
    <row r="37" spans="1:11" ht="15" customHeight="1">
      <c r="A37" s="430"/>
      <c r="C37" s="433" t="s">
        <v>257</v>
      </c>
      <c r="D37" s="427"/>
      <c r="E37" s="1062" t="s">
        <v>12</v>
      </c>
      <c r="F37" s="1062"/>
      <c r="G37" s="392"/>
      <c r="I37" s="603" t="s">
        <v>110</v>
      </c>
      <c r="J37" s="381"/>
      <c r="K37" s="430"/>
    </row>
    <row r="38" spans="1:11" ht="15" customHeight="1">
      <c r="A38" s="434"/>
      <c r="C38" s="435" t="s">
        <v>13</v>
      </c>
      <c r="D38" s="436"/>
      <c r="E38" s="1055" t="s">
        <v>13</v>
      </c>
      <c r="F38" s="1055"/>
      <c r="G38" s="392"/>
      <c r="I38" s="604" t="s">
        <v>138</v>
      </c>
      <c r="J38" s="602"/>
      <c r="K38" s="434"/>
    </row>
    <row r="39" spans="1:11" ht="15">
      <c r="A39" s="434"/>
      <c r="C39" s="435"/>
      <c r="D39" s="427"/>
      <c r="E39" s="437"/>
      <c r="F39" s="438"/>
      <c r="G39" s="392"/>
      <c r="H39" s="434"/>
      <c r="I39" s="434"/>
      <c r="J39" s="434"/>
      <c r="K39" s="434"/>
    </row>
    <row r="40" spans="1:11" ht="15">
      <c r="A40" s="434"/>
      <c r="B40" s="435"/>
      <c r="C40" s="434"/>
      <c r="D40" s="427"/>
      <c r="E40" s="437"/>
      <c r="F40" s="438"/>
      <c r="G40" s="392"/>
      <c r="H40" s="434"/>
      <c r="I40" s="434"/>
      <c r="J40" s="434"/>
      <c r="K40" s="434"/>
    </row>
    <row r="41" spans="1:11" ht="15">
      <c r="A41" s="434"/>
      <c r="B41" s="435"/>
      <c r="C41" s="434"/>
      <c r="D41" s="427"/>
      <c r="E41" s="437"/>
      <c r="F41" s="438"/>
      <c r="G41" s="392"/>
      <c r="H41" s="434"/>
      <c r="I41" s="434"/>
      <c r="J41" s="434"/>
      <c r="K41" s="434"/>
    </row>
    <row r="46" spans="1:11" ht="15">
      <c r="C46" s="605" t="s">
        <v>356</v>
      </c>
      <c r="H46" s="601"/>
      <c r="I46" s="600" t="s">
        <v>104</v>
      </c>
      <c r="J46" s="601"/>
    </row>
  </sheetData>
  <mergeCells count="11"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27"/>
  <sheetViews>
    <sheetView topLeftCell="A456" workbookViewId="0">
      <selection activeCell="J459" sqref="J459:K521"/>
    </sheetView>
  </sheetViews>
  <sheetFormatPr defaultColWidth="10.28515625" defaultRowHeight="12.75"/>
  <cols>
    <col min="1" max="1" width="4.140625" style="793" customWidth="1"/>
    <col min="2" max="2" width="20.85546875" style="793" customWidth="1"/>
    <col min="3" max="3" width="11.7109375" style="793" customWidth="1"/>
    <col min="4" max="4" width="12" style="793" customWidth="1"/>
    <col min="5" max="6" width="11" style="793" customWidth="1"/>
    <col min="7" max="7" width="11.5703125" style="793" customWidth="1"/>
    <col min="8" max="8" width="10.140625" style="793" customWidth="1"/>
    <col min="9" max="9" width="13.42578125" style="793" customWidth="1"/>
    <col min="10" max="10" width="7.28515625" style="793" customWidth="1"/>
    <col min="11" max="11" width="7.7109375" style="793" customWidth="1"/>
    <col min="12" max="13" width="2.42578125" style="804" customWidth="1"/>
    <col min="14" max="14" width="23" style="793" customWidth="1"/>
    <col min="15" max="16" width="8.5703125" style="805" customWidth="1"/>
    <col min="17" max="17" width="7.5703125" style="806" customWidth="1"/>
    <col min="18" max="18" width="7" style="856" customWidth="1"/>
    <col min="19" max="19" width="7.5703125" style="293" customWidth="1"/>
    <col min="20" max="20" width="12.42578125" style="793" customWidth="1"/>
    <col min="21" max="21" width="15.85546875" style="793" customWidth="1"/>
    <col min="22" max="22" width="8.28515625" style="805" customWidth="1"/>
    <col min="23" max="23" width="7.5703125" style="293" customWidth="1"/>
    <col min="24" max="24" width="9" style="293" customWidth="1"/>
    <col min="25" max="25" width="9.7109375" style="793" customWidth="1"/>
    <col min="26" max="16384" width="10.28515625" style="793"/>
  </cols>
  <sheetData>
    <row r="1" spans="1:27">
      <c r="B1" s="793">
        <v>1</v>
      </c>
      <c r="C1" s="793">
        <v>5</v>
      </c>
      <c r="D1" s="793">
        <v>6</v>
      </c>
      <c r="E1" s="793">
        <v>7</v>
      </c>
      <c r="F1" s="793">
        <v>8</v>
      </c>
      <c r="G1" s="793">
        <v>10</v>
      </c>
      <c r="H1" s="793">
        <v>11</v>
      </c>
      <c r="I1" s="793">
        <v>13</v>
      </c>
      <c r="J1" s="793">
        <v>14</v>
      </c>
      <c r="K1" s="793">
        <v>15</v>
      </c>
    </row>
    <row r="2" spans="1:27" ht="18" hidden="1" customHeight="1">
      <c r="A2" s="584" t="s">
        <v>557</v>
      </c>
      <c r="B2" s="794"/>
      <c r="C2" s="293"/>
      <c r="D2" s="293"/>
      <c r="E2" s="293"/>
      <c r="F2" s="293"/>
      <c r="G2" s="293"/>
      <c r="H2" s="293"/>
      <c r="I2" s="293"/>
      <c r="J2" s="613"/>
      <c r="K2" s="293"/>
      <c r="L2" s="807"/>
      <c r="M2" s="807"/>
      <c r="N2" s="293"/>
      <c r="O2" s="788"/>
      <c r="P2" s="788"/>
      <c r="U2" s="293"/>
      <c r="V2" s="788"/>
    </row>
    <row r="3" spans="1:27" ht="18.75" customHeight="1">
      <c r="A3" s="795" t="s">
        <v>1104</v>
      </c>
      <c r="B3" s="795"/>
      <c r="C3" s="795"/>
      <c r="D3" s="795"/>
      <c r="E3" s="795"/>
      <c r="F3" s="795"/>
      <c r="G3" s="795"/>
      <c r="H3" s="795"/>
      <c r="I3" s="795"/>
      <c r="J3" s="795"/>
      <c r="K3" s="795"/>
      <c r="L3" s="807"/>
      <c r="M3" s="807"/>
      <c r="N3" s="293"/>
      <c r="O3" s="788"/>
      <c r="P3" s="788"/>
      <c r="U3" s="293"/>
      <c r="V3" s="788"/>
    </row>
    <row r="4" spans="1:27" ht="12.75" customHeight="1">
      <c r="A4" s="846"/>
      <c r="B4" s="838"/>
      <c r="C4" s="838"/>
      <c r="D4" s="838"/>
      <c r="E4" s="838"/>
      <c r="F4" s="838"/>
      <c r="G4" s="838"/>
      <c r="H4" s="838"/>
      <c r="I4" s="838"/>
      <c r="J4" s="808"/>
      <c r="K4" s="838"/>
      <c r="L4" s="807"/>
      <c r="M4" s="807"/>
      <c r="N4" s="802"/>
      <c r="O4" s="846"/>
      <c r="P4" s="846"/>
      <c r="Q4" s="846"/>
      <c r="R4" s="857"/>
      <c r="S4" s="809"/>
      <c r="T4" s="846"/>
      <c r="U4" s="846"/>
      <c r="V4" s="846"/>
      <c r="W4" s="846"/>
      <c r="X4" s="846"/>
      <c r="Y4" s="846"/>
      <c r="Z4" s="802"/>
      <c r="AA4" s="802"/>
    </row>
    <row r="5" spans="1:27" s="450" customFormat="1" ht="30.75" customHeight="1">
      <c r="A5" s="866" t="s">
        <v>35</v>
      </c>
      <c r="B5" s="445" t="s">
        <v>258</v>
      </c>
      <c r="C5" s="446" t="s">
        <v>262</v>
      </c>
      <c r="D5" s="446" t="s">
        <v>512</v>
      </c>
      <c r="E5" s="446" t="s">
        <v>263</v>
      </c>
      <c r="F5" s="446" t="s">
        <v>504</v>
      </c>
      <c r="G5" s="447" t="s">
        <v>264</v>
      </c>
      <c r="H5" s="446" t="s">
        <v>503</v>
      </c>
      <c r="I5" s="446" t="s">
        <v>265</v>
      </c>
      <c r="J5" s="448" t="s">
        <v>260</v>
      </c>
      <c r="K5" s="446" t="s">
        <v>266</v>
      </c>
      <c r="L5" s="449"/>
      <c r="M5" s="449"/>
      <c r="N5" s="445" t="s">
        <v>258</v>
      </c>
      <c r="O5" s="446" t="s">
        <v>252</v>
      </c>
      <c r="P5" s="446" t="s">
        <v>252</v>
      </c>
      <c r="Q5" s="789" t="s">
        <v>259</v>
      </c>
      <c r="R5" s="858" t="s">
        <v>215</v>
      </c>
      <c r="S5" s="446" t="s">
        <v>261</v>
      </c>
      <c r="T5" s="446" t="s">
        <v>267</v>
      </c>
      <c r="U5" s="445" t="s">
        <v>258</v>
      </c>
      <c r="V5" s="446" t="s">
        <v>252</v>
      </c>
      <c r="W5" s="446" t="s">
        <v>215</v>
      </c>
      <c r="X5" s="446" t="s">
        <v>261</v>
      </c>
      <c r="Y5" s="445" t="s">
        <v>267</v>
      </c>
    </row>
    <row r="6" spans="1:27">
      <c r="A6" s="796">
        <f>IF(B6&lt;&gt;"",1,"")</f>
        <v>1</v>
      </c>
      <c r="B6" s="297" t="s">
        <v>1478</v>
      </c>
      <c r="C6" s="25">
        <f>T6</f>
        <v>1047296</v>
      </c>
      <c r="D6" s="797">
        <f t="shared" ref="D6:H15" si="0">IF($J$192&lt;&gt;0,D$192/$J$192*$J6,0)</f>
        <v>18336.574991365676</v>
      </c>
      <c r="E6" s="797">
        <f t="shared" si="0"/>
        <v>2052.24219729882</v>
      </c>
      <c r="F6" s="797">
        <f t="shared" si="0"/>
        <v>11192.8089724247</v>
      </c>
      <c r="G6" s="797">
        <f t="shared" si="0"/>
        <v>8293.4942649919103</v>
      </c>
      <c r="H6" s="797">
        <f t="shared" si="0"/>
        <v>2075.3362841510188</v>
      </c>
      <c r="I6" s="25">
        <f t="shared" ref="I6:I190" si="1">SUM(C6:H6)</f>
        <v>1089246.4567102322</v>
      </c>
      <c r="J6" s="797">
        <v>25</v>
      </c>
      <c r="K6" s="797">
        <f>IF(J6&lt;&gt;"",I6/J6,"")</f>
        <v>43569.858268409291</v>
      </c>
      <c r="L6" s="698"/>
      <c r="M6" s="698"/>
      <c r="N6" s="189" t="s">
        <v>1257</v>
      </c>
      <c r="O6" s="810">
        <f>P6-3</f>
        <v>40912</v>
      </c>
      <c r="P6" s="810">
        <v>40915</v>
      </c>
      <c r="Q6" s="811" t="s">
        <v>1477</v>
      </c>
      <c r="R6" s="304">
        <v>32</v>
      </c>
      <c r="S6" s="842">
        <v>32728</v>
      </c>
      <c r="T6" s="25">
        <f>ROUND(R6*S6,0)</f>
        <v>1047296</v>
      </c>
      <c r="U6" s="189" t="s">
        <v>403</v>
      </c>
      <c r="V6" s="810">
        <v>40910</v>
      </c>
      <c r="W6" s="842">
        <v>50</v>
      </c>
      <c r="X6" s="842">
        <v>25000</v>
      </c>
      <c r="Y6" s="25">
        <f>W6*X6</f>
        <v>1250000</v>
      </c>
    </row>
    <row r="7" spans="1:27">
      <c r="A7" s="847">
        <f>IF(B7&lt;&gt;"",A6+1,"")</f>
        <v>2</v>
      </c>
      <c r="B7" s="297" t="s">
        <v>1479</v>
      </c>
      <c r="C7" s="25">
        <f t="shared" ref="C7:C190" si="2">T7</f>
        <v>1100785</v>
      </c>
      <c r="D7" s="797">
        <f t="shared" si="0"/>
        <v>36673.149982731353</v>
      </c>
      <c r="E7" s="797">
        <f t="shared" si="0"/>
        <v>4104.4843945976399</v>
      </c>
      <c r="F7" s="797">
        <f t="shared" si="0"/>
        <v>22385.6179448494</v>
      </c>
      <c r="G7" s="797">
        <f t="shared" si="0"/>
        <v>16586.988529983821</v>
      </c>
      <c r="H7" s="797">
        <f t="shared" si="0"/>
        <v>4150.6725683020377</v>
      </c>
      <c r="I7" s="25">
        <f t="shared" si="1"/>
        <v>1184685.9134204644</v>
      </c>
      <c r="J7" s="797">
        <v>50</v>
      </c>
      <c r="K7" s="797">
        <f t="shared" ref="K7:K190" si="3">IF(J7&lt;&gt;"",I7/J7,"")</f>
        <v>23693.718268409288</v>
      </c>
      <c r="L7" s="698"/>
      <c r="M7" s="698"/>
      <c r="N7" s="297" t="s">
        <v>1249</v>
      </c>
      <c r="O7" s="810">
        <f t="shared" ref="O7:O14" si="4">P7-3</f>
        <v>40912</v>
      </c>
      <c r="P7" s="810">
        <v>40915</v>
      </c>
      <c r="Q7" s="811" t="s">
        <v>1477</v>
      </c>
      <c r="R7" s="304">
        <v>35</v>
      </c>
      <c r="S7" s="842">
        <v>31451</v>
      </c>
      <c r="T7" s="25">
        <f t="shared" ref="T7:T190" si="5">ROUND(R7*S7,0)</f>
        <v>1100785</v>
      </c>
      <c r="U7" s="189" t="s">
        <v>403</v>
      </c>
      <c r="V7" s="810">
        <v>40924</v>
      </c>
      <c r="W7" s="842">
        <v>50</v>
      </c>
      <c r="X7" s="842">
        <v>25000</v>
      </c>
      <c r="Y7" s="25">
        <f t="shared" ref="Y7:Y190" si="6">W7*X7</f>
        <v>1250000</v>
      </c>
    </row>
    <row r="8" spans="1:27">
      <c r="A8" s="847">
        <f t="shared" ref="A8:A190" si="7">IF(B8&lt;&gt;"",A7+1,"")</f>
        <v>3</v>
      </c>
      <c r="B8" s="297" t="s">
        <v>1480</v>
      </c>
      <c r="C8" s="25">
        <f t="shared" si="2"/>
        <v>1178208</v>
      </c>
      <c r="D8" s="797">
        <f t="shared" si="0"/>
        <v>18336.574991365676</v>
      </c>
      <c r="E8" s="797">
        <f t="shared" si="0"/>
        <v>2052.24219729882</v>
      </c>
      <c r="F8" s="797">
        <f t="shared" si="0"/>
        <v>11192.8089724247</v>
      </c>
      <c r="G8" s="797">
        <f t="shared" si="0"/>
        <v>8293.4942649919103</v>
      </c>
      <c r="H8" s="797">
        <f t="shared" si="0"/>
        <v>2075.3362841510188</v>
      </c>
      <c r="I8" s="25">
        <f t="shared" si="1"/>
        <v>1220158.4567102322</v>
      </c>
      <c r="J8" s="797">
        <v>25</v>
      </c>
      <c r="K8" s="797">
        <f t="shared" si="3"/>
        <v>48806.338268409287</v>
      </c>
      <c r="L8" s="698"/>
      <c r="M8" s="698"/>
      <c r="N8" s="189" t="s">
        <v>1257</v>
      </c>
      <c r="O8" s="810">
        <f t="shared" si="4"/>
        <v>40912</v>
      </c>
      <c r="P8" s="810">
        <v>40915</v>
      </c>
      <c r="Q8" s="811" t="s">
        <v>1477</v>
      </c>
      <c r="R8" s="304">
        <v>36</v>
      </c>
      <c r="S8" s="842">
        <v>32728</v>
      </c>
      <c r="T8" s="25">
        <f t="shared" si="5"/>
        <v>1178208</v>
      </c>
      <c r="U8" s="189" t="s">
        <v>370</v>
      </c>
      <c r="V8" s="810">
        <v>40941</v>
      </c>
      <c r="W8" s="842">
        <v>48</v>
      </c>
      <c r="X8" s="842">
        <v>42000</v>
      </c>
      <c r="Y8" s="25">
        <f t="shared" si="6"/>
        <v>2016000</v>
      </c>
    </row>
    <row r="9" spans="1:27">
      <c r="A9" s="847">
        <f t="shared" si="7"/>
        <v>4</v>
      </c>
      <c r="B9" s="297" t="s">
        <v>1481</v>
      </c>
      <c r="C9" s="25">
        <f t="shared" si="2"/>
        <v>1538216</v>
      </c>
      <c r="D9" s="797">
        <f t="shared" si="0"/>
        <v>33005.834984458219</v>
      </c>
      <c r="E9" s="797">
        <f t="shared" si="0"/>
        <v>3694.0359551378765</v>
      </c>
      <c r="F9" s="797">
        <f t="shared" si="0"/>
        <v>20147.05615036446</v>
      </c>
      <c r="G9" s="797">
        <f t="shared" si="0"/>
        <v>14928.28967698544</v>
      </c>
      <c r="H9" s="797">
        <f t="shared" si="0"/>
        <v>3735.6053114718338</v>
      </c>
      <c r="I9" s="25">
        <f t="shared" si="1"/>
        <v>1613726.8220784178</v>
      </c>
      <c r="J9" s="797">
        <v>45</v>
      </c>
      <c r="K9" s="797">
        <f t="shared" si="3"/>
        <v>35860.596046187064</v>
      </c>
      <c r="L9" s="698"/>
      <c r="M9" s="698"/>
      <c r="N9" s="189" t="s">
        <v>1257</v>
      </c>
      <c r="O9" s="810">
        <f t="shared" si="4"/>
        <v>40912</v>
      </c>
      <c r="P9" s="810">
        <v>40915</v>
      </c>
      <c r="Q9" s="811" t="s">
        <v>1477</v>
      </c>
      <c r="R9" s="304">
        <v>47</v>
      </c>
      <c r="S9" s="842">
        <v>32728</v>
      </c>
      <c r="T9" s="25">
        <f t="shared" si="5"/>
        <v>1538216</v>
      </c>
      <c r="U9" s="189" t="s">
        <v>578</v>
      </c>
      <c r="V9" s="810">
        <v>40941</v>
      </c>
      <c r="W9" s="842"/>
      <c r="X9" s="842"/>
      <c r="Y9" s="25">
        <f t="shared" si="6"/>
        <v>0</v>
      </c>
    </row>
    <row r="10" spans="1:27">
      <c r="A10" s="847">
        <f t="shared" si="7"/>
        <v>5</v>
      </c>
      <c r="B10" s="297" t="s">
        <v>1482</v>
      </c>
      <c r="C10" s="25">
        <f t="shared" si="2"/>
        <v>2561600</v>
      </c>
      <c r="D10" s="797">
        <f t="shared" si="0"/>
        <v>73346.299965462706</v>
      </c>
      <c r="E10" s="797">
        <f t="shared" si="0"/>
        <v>8208.9687891952799</v>
      </c>
      <c r="F10" s="797">
        <f t="shared" si="0"/>
        <v>44771.235889698801</v>
      </c>
      <c r="G10" s="797">
        <f t="shared" si="0"/>
        <v>33173.977059967641</v>
      </c>
      <c r="H10" s="797">
        <f t="shared" si="0"/>
        <v>8301.3451366040754</v>
      </c>
      <c r="I10" s="25">
        <f t="shared" si="1"/>
        <v>2729401.8268409288</v>
      </c>
      <c r="J10" s="797">
        <v>100</v>
      </c>
      <c r="K10" s="797">
        <f t="shared" si="3"/>
        <v>27294.018268409287</v>
      </c>
      <c r="L10" s="698"/>
      <c r="M10" s="698"/>
      <c r="N10" s="189" t="s">
        <v>1245</v>
      </c>
      <c r="O10" s="810">
        <f t="shared" si="4"/>
        <v>40912</v>
      </c>
      <c r="P10" s="810">
        <v>40915</v>
      </c>
      <c r="Q10" s="811" t="s">
        <v>1477</v>
      </c>
      <c r="R10" s="304">
        <v>100</v>
      </c>
      <c r="S10" s="842">
        <v>25616</v>
      </c>
      <c r="T10" s="25">
        <f t="shared" si="5"/>
        <v>2561600</v>
      </c>
      <c r="U10" s="451"/>
      <c r="V10" s="810"/>
      <c r="W10" s="842"/>
      <c r="X10" s="842"/>
      <c r="Y10" s="25">
        <f t="shared" si="6"/>
        <v>0</v>
      </c>
    </row>
    <row r="11" spans="1:27">
      <c r="A11" s="847">
        <f t="shared" si="7"/>
        <v>6</v>
      </c>
      <c r="B11" s="297" t="s">
        <v>1483</v>
      </c>
      <c r="C11" s="25">
        <f t="shared" si="2"/>
        <v>2289700</v>
      </c>
      <c r="D11" s="797">
        <f t="shared" si="0"/>
        <v>109285.98694853943</v>
      </c>
      <c r="E11" s="797">
        <f t="shared" si="0"/>
        <v>12231.363495900969</v>
      </c>
      <c r="F11" s="797">
        <f t="shared" si="0"/>
        <v>66709.141475651209</v>
      </c>
      <c r="G11" s="797">
        <f t="shared" si="0"/>
        <v>49429.225819351792</v>
      </c>
      <c r="H11" s="797">
        <f t="shared" si="0"/>
        <v>12369.004253540072</v>
      </c>
      <c r="I11" s="25">
        <f t="shared" si="1"/>
        <v>2539724.7219929835</v>
      </c>
      <c r="J11" s="797">
        <v>149</v>
      </c>
      <c r="K11" s="797">
        <f t="shared" si="3"/>
        <v>17045.132362369015</v>
      </c>
      <c r="L11" s="698"/>
      <c r="M11" s="698"/>
      <c r="N11" s="189" t="s">
        <v>1253</v>
      </c>
      <c r="O11" s="810">
        <f t="shared" si="4"/>
        <v>40912</v>
      </c>
      <c r="P11" s="810">
        <v>40915</v>
      </c>
      <c r="Q11" s="811" t="s">
        <v>924</v>
      </c>
      <c r="R11" s="304">
        <v>100</v>
      </c>
      <c r="S11" s="842">
        <v>22897</v>
      </c>
      <c r="T11" s="25">
        <f t="shared" si="5"/>
        <v>2289700</v>
      </c>
      <c r="U11" s="451"/>
      <c r="V11" s="810"/>
      <c r="W11" s="842"/>
      <c r="X11" s="842"/>
      <c r="Y11" s="25">
        <f t="shared" si="6"/>
        <v>0</v>
      </c>
    </row>
    <row r="12" spans="1:27">
      <c r="A12" s="847">
        <f t="shared" si="7"/>
        <v>7</v>
      </c>
      <c r="B12" s="297" t="s">
        <v>1111</v>
      </c>
      <c r="C12" s="25">
        <f t="shared" si="2"/>
        <v>68440</v>
      </c>
      <c r="D12" s="797">
        <f t="shared" si="0"/>
        <v>220038.89989638812</v>
      </c>
      <c r="E12" s="797">
        <f t="shared" si="0"/>
        <v>24626.906367585842</v>
      </c>
      <c r="F12" s="797">
        <f t="shared" si="0"/>
        <v>134313.70766909642</v>
      </c>
      <c r="G12" s="797">
        <f t="shared" si="0"/>
        <v>99521.931179902924</v>
      </c>
      <c r="H12" s="797">
        <f t="shared" si="0"/>
        <v>24904.035409812226</v>
      </c>
      <c r="I12" s="25">
        <f t="shared" si="1"/>
        <v>571845.48052278545</v>
      </c>
      <c r="J12" s="797">
        <v>300</v>
      </c>
      <c r="K12" s="797">
        <f t="shared" si="3"/>
        <v>1906.1516017426181</v>
      </c>
      <c r="L12" s="698"/>
      <c r="M12" s="698"/>
      <c r="N12" s="192" t="s">
        <v>670</v>
      </c>
      <c r="O12" s="810">
        <f t="shared" si="4"/>
        <v>40912</v>
      </c>
      <c r="P12" s="810">
        <v>40915</v>
      </c>
      <c r="Q12" s="811" t="s">
        <v>924</v>
      </c>
      <c r="R12" s="304">
        <v>8</v>
      </c>
      <c r="S12" s="842">
        <v>8555</v>
      </c>
      <c r="T12" s="25">
        <f t="shared" si="5"/>
        <v>68440</v>
      </c>
      <c r="U12" s="451"/>
      <c r="V12" s="810"/>
      <c r="W12" s="842"/>
      <c r="X12" s="842"/>
      <c r="Y12" s="25">
        <f t="shared" si="6"/>
        <v>0</v>
      </c>
    </row>
    <row r="13" spans="1:27">
      <c r="A13" s="847">
        <f t="shared" si="7"/>
        <v>8</v>
      </c>
      <c r="B13" s="297" t="s">
        <v>1484</v>
      </c>
      <c r="C13" s="25">
        <f t="shared" si="2"/>
        <v>4091000</v>
      </c>
      <c r="D13" s="797">
        <f t="shared" si="0"/>
        <v>87282.096958900627</v>
      </c>
      <c r="E13" s="797">
        <f t="shared" si="0"/>
        <v>9768.6728591423835</v>
      </c>
      <c r="F13" s="797">
        <f t="shared" si="0"/>
        <v>53277.770708741577</v>
      </c>
      <c r="G13" s="797">
        <f t="shared" si="0"/>
        <v>39477.032701361495</v>
      </c>
      <c r="H13" s="797">
        <f t="shared" si="0"/>
        <v>9878.6007125588494</v>
      </c>
      <c r="I13" s="25">
        <f t="shared" si="1"/>
        <v>4290684.1739407061</v>
      </c>
      <c r="J13" s="797">
        <v>119</v>
      </c>
      <c r="K13" s="797">
        <f t="shared" si="3"/>
        <v>36056.169528913495</v>
      </c>
      <c r="L13" s="698"/>
      <c r="M13" s="698"/>
      <c r="N13" s="189" t="s">
        <v>1257</v>
      </c>
      <c r="O13" s="810">
        <f t="shared" si="4"/>
        <v>40912</v>
      </c>
      <c r="P13" s="810">
        <v>40915</v>
      </c>
      <c r="Q13" s="811" t="s">
        <v>924</v>
      </c>
      <c r="R13" s="304">
        <v>125</v>
      </c>
      <c r="S13" s="842">
        <v>32728</v>
      </c>
      <c r="T13" s="25">
        <f t="shared" si="5"/>
        <v>4091000</v>
      </c>
      <c r="U13" s="451"/>
      <c r="V13" s="810"/>
      <c r="W13" s="842"/>
      <c r="X13" s="842"/>
      <c r="Y13" s="25">
        <f t="shared" si="6"/>
        <v>0</v>
      </c>
    </row>
    <row r="14" spans="1:27">
      <c r="A14" s="847">
        <f t="shared" si="7"/>
        <v>9</v>
      </c>
      <c r="B14" s="297" t="s">
        <v>1485</v>
      </c>
      <c r="C14" s="25">
        <f t="shared" si="2"/>
        <v>210432</v>
      </c>
      <c r="D14" s="797">
        <f t="shared" si="0"/>
        <v>176031.11991711051</v>
      </c>
      <c r="E14" s="797">
        <f t="shared" si="0"/>
        <v>19701.525094068675</v>
      </c>
      <c r="F14" s="797">
        <f t="shared" si="0"/>
        <v>107450.96613527712</v>
      </c>
      <c r="G14" s="797">
        <f t="shared" si="0"/>
        <v>79617.544943922345</v>
      </c>
      <c r="H14" s="797">
        <f t="shared" si="0"/>
        <v>19923.228327849782</v>
      </c>
      <c r="I14" s="25">
        <f t="shared" si="1"/>
        <v>613156.38441822841</v>
      </c>
      <c r="J14" s="797">
        <v>240</v>
      </c>
      <c r="K14" s="797">
        <f t="shared" si="3"/>
        <v>2554.8182684092849</v>
      </c>
      <c r="L14" s="698"/>
      <c r="M14" s="698"/>
      <c r="N14" s="297" t="s">
        <v>1366</v>
      </c>
      <c r="O14" s="810">
        <f t="shared" si="4"/>
        <v>40912</v>
      </c>
      <c r="P14" s="810">
        <v>40915</v>
      </c>
      <c r="Q14" s="811" t="s">
        <v>924</v>
      </c>
      <c r="R14" s="304">
        <v>24</v>
      </c>
      <c r="S14" s="842">
        <v>8768</v>
      </c>
      <c r="T14" s="25">
        <f t="shared" si="5"/>
        <v>210432</v>
      </c>
      <c r="U14" s="451"/>
      <c r="V14" s="810"/>
      <c r="W14" s="842"/>
      <c r="X14" s="842"/>
      <c r="Y14" s="25">
        <f t="shared" si="6"/>
        <v>0</v>
      </c>
    </row>
    <row r="15" spans="1:27">
      <c r="A15" s="847">
        <f t="shared" ref="A15:A46" si="8">IF(B15&lt;&gt;"",A14+1,"")</f>
        <v>10</v>
      </c>
      <c r="B15" s="297" t="s">
        <v>1112</v>
      </c>
      <c r="C15" s="25">
        <f t="shared" ref="C15:C46" si="9">T15</f>
        <v>513900</v>
      </c>
      <c r="D15" s="797">
        <f t="shared" si="0"/>
        <v>2860505.6986530456</v>
      </c>
      <c r="E15" s="797">
        <f t="shared" si="0"/>
        <v>320149.78277861595</v>
      </c>
      <c r="F15" s="797">
        <f t="shared" si="0"/>
        <v>1746078.1996982533</v>
      </c>
      <c r="G15" s="797">
        <f t="shared" si="0"/>
        <v>1293785.1053387381</v>
      </c>
      <c r="H15" s="797">
        <f t="shared" si="0"/>
        <v>323752.46032755892</v>
      </c>
      <c r="I15" s="25">
        <f t="shared" ref="I15:I46" si="10">SUM(C15:H15)</f>
        <v>7058171.2467962122</v>
      </c>
      <c r="J15" s="797">
        <v>3900</v>
      </c>
      <c r="K15" s="797">
        <f t="shared" ref="K15:K46" si="11">IF(J15&lt;&gt;"",I15/J15,"")</f>
        <v>1809.7874991785159</v>
      </c>
      <c r="L15" s="698"/>
      <c r="M15" s="698"/>
      <c r="N15" s="189" t="s">
        <v>653</v>
      </c>
      <c r="O15" s="810">
        <f t="shared" ref="O15:O46" si="12">P15-3</f>
        <v>40912</v>
      </c>
      <c r="P15" s="810">
        <v>40915</v>
      </c>
      <c r="Q15" s="811" t="s">
        <v>924</v>
      </c>
      <c r="R15" s="304">
        <v>900</v>
      </c>
      <c r="S15" s="842">
        <v>571</v>
      </c>
      <c r="T15" s="25">
        <f t="shared" ref="T15:T46" si="13">ROUND(R15*S15,0)</f>
        <v>513900</v>
      </c>
      <c r="U15" s="451"/>
      <c r="V15" s="810"/>
      <c r="W15" s="842"/>
      <c r="X15" s="842"/>
      <c r="Y15" s="25">
        <f t="shared" ref="Y15:Y46" si="14">W15*X15</f>
        <v>0</v>
      </c>
    </row>
    <row r="16" spans="1:27">
      <c r="A16" s="847">
        <f t="shared" si="8"/>
        <v>11</v>
      </c>
      <c r="B16" s="297" t="s">
        <v>1186</v>
      </c>
      <c r="C16" s="25">
        <f t="shared" si="9"/>
        <v>15079000</v>
      </c>
      <c r="D16" s="797">
        <f t="shared" ref="D16:H25" si="15">IF($J$192&lt;&gt;0,D$192/$J$192*$J16,0)</f>
        <v>713659.49866395211</v>
      </c>
      <c r="E16" s="797">
        <f t="shared" si="15"/>
        <v>79873.266318870083</v>
      </c>
      <c r="F16" s="797">
        <f t="shared" si="15"/>
        <v>435624.12520676933</v>
      </c>
      <c r="G16" s="797">
        <f t="shared" si="15"/>
        <v>322782.79679348518</v>
      </c>
      <c r="H16" s="797">
        <f t="shared" si="15"/>
        <v>80772.088179157654</v>
      </c>
      <c r="I16" s="25">
        <f t="shared" si="10"/>
        <v>16711711.775162235</v>
      </c>
      <c r="J16" s="797">
        <v>973</v>
      </c>
      <c r="K16" s="797">
        <f t="shared" si="11"/>
        <v>17175.448895336314</v>
      </c>
      <c r="L16" s="698"/>
      <c r="M16" s="698"/>
      <c r="N16" s="189" t="s">
        <v>1252</v>
      </c>
      <c r="O16" s="810">
        <f t="shared" si="12"/>
        <v>40914</v>
      </c>
      <c r="P16" s="810">
        <v>40917</v>
      </c>
      <c r="Q16" s="811" t="s">
        <v>926</v>
      </c>
      <c r="R16" s="304">
        <v>500</v>
      </c>
      <c r="S16" s="842">
        <v>30158</v>
      </c>
      <c r="T16" s="25">
        <f t="shared" si="13"/>
        <v>15079000</v>
      </c>
      <c r="U16" s="451"/>
      <c r="V16" s="810"/>
      <c r="W16" s="842"/>
      <c r="X16" s="842"/>
      <c r="Y16" s="25">
        <f t="shared" si="14"/>
        <v>0</v>
      </c>
    </row>
    <row r="17" spans="1:25">
      <c r="A17" s="847">
        <f t="shared" si="8"/>
        <v>12</v>
      </c>
      <c r="B17" s="297" t="s">
        <v>925</v>
      </c>
      <c r="C17" s="25">
        <f t="shared" si="9"/>
        <v>7523984</v>
      </c>
      <c r="D17" s="797">
        <f t="shared" si="15"/>
        <v>733462.99965462706</v>
      </c>
      <c r="E17" s="797">
        <f t="shared" si="15"/>
        <v>82089.68789195281</v>
      </c>
      <c r="F17" s="797">
        <f t="shared" si="15"/>
        <v>447712.35889698798</v>
      </c>
      <c r="G17" s="797">
        <f t="shared" si="15"/>
        <v>331739.77059967641</v>
      </c>
      <c r="H17" s="797">
        <f t="shared" si="15"/>
        <v>83013.451366040754</v>
      </c>
      <c r="I17" s="25">
        <f t="shared" si="10"/>
        <v>9202002.2684092857</v>
      </c>
      <c r="J17" s="797">
        <v>1000</v>
      </c>
      <c r="K17" s="797">
        <f t="shared" si="11"/>
        <v>9202.0022684092855</v>
      </c>
      <c r="L17" s="698"/>
      <c r="M17" s="698"/>
      <c r="N17" s="189" t="s">
        <v>630</v>
      </c>
      <c r="O17" s="810">
        <f t="shared" si="12"/>
        <v>40914</v>
      </c>
      <c r="P17" s="810">
        <v>40917</v>
      </c>
      <c r="Q17" s="811" t="s">
        <v>928</v>
      </c>
      <c r="R17" s="304">
        <v>244</v>
      </c>
      <c r="S17" s="842">
        <v>30836</v>
      </c>
      <c r="T17" s="25">
        <f t="shared" si="13"/>
        <v>7523984</v>
      </c>
      <c r="U17" s="451"/>
      <c r="V17" s="810"/>
      <c r="W17" s="842"/>
      <c r="X17" s="842"/>
      <c r="Y17" s="25">
        <f t="shared" si="14"/>
        <v>0</v>
      </c>
    </row>
    <row r="18" spans="1:25">
      <c r="A18" s="847">
        <f t="shared" si="8"/>
        <v>13</v>
      </c>
      <c r="B18" s="297" t="s">
        <v>925</v>
      </c>
      <c r="C18" s="25">
        <f t="shared" si="9"/>
        <v>8383890</v>
      </c>
      <c r="D18" s="797">
        <f t="shared" si="15"/>
        <v>148159.52593023467</v>
      </c>
      <c r="E18" s="797">
        <f t="shared" si="15"/>
        <v>16582.116954174468</v>
      </c>
      <c r="F18" s="797">
        <f t="shared" si="15"/>
        <v>90437.89649719157</v>
      </c>
      <c r="G18" s="797">
        <f t="shared" si="15"/>
        <v>67011.433661134637</v>
      </c>
      <c r="H18" s="797">
        <f t="shared" si="15"/>
        <v>16768.717175940234</v>
      </c>
      <c r="I18" s="25">
        <f t="shared" si="10"/>
        <v>8722849.6902186759</v>
      </c>
      <c r="J18" s="797">
        <v>202</v>
      </c>
      <c r="K18" s="797">
        <f t="shared" si="11"/>
        <v>43182.424209003344</v>
      </c>
      <c r="L18" s="698"/>
      <c r="M18" s="698"/>
      <c r="N18" s="189" t="s">
        <v>1260</v>
      </c>
      <c r="O18" s="810">
        <f t="shared" si="12"/>
        <v>40915</v>
      </c>
      <c r="P18" s="810">
        <v>40918</v>
      </c>
      <c r="Q18" s="811" t="s">
        <v>929</v>
      </c>
      <c r="R18" s="304">
        <v>255</v>
      </c>
      <c r="S18" s="842">
        <v>32878</v>
      </c>
      <c r="T18" s="25">
        <f t="shared" si="13"/>
        <v>8383890</v>
      </c>
      <c r="U18" s="451"/>
      <c r="V18" s="810"/>
      <c r="W18" s="842"/>
      <c r="X18" s="842"/>
      <c r="Y18" s="25">
        <f t="shared" si="14"/>
        <v>0</v>
      </c>
    </row>
    <row r="19" spans="1:25">
      <c r="A19" s="847">
        <f t="shared" si="8"/>
        <v>14</v>
      </c>
      <c r="B19" s="297" t="s">
        <v>1113</v>
      </c>
      <c r="C19" s="25">
        <f t="shared" si="9"/>
        <v>1472900</v>
      </c>
      <c r="D19" s="797">
        <f t="shared" si="15"/>
        <v>360863.7958300765</v>
      </c>
      <c r="E19" s="797">
        <f t="shared" si="15"/>
        <v>40388.126442840781</v>
      </c>
      <c r="F19" s="797">
        <f t="shared" si="15"/>
        <v>220274.48057731811</v>
      </c>
      <c r="G19" s="797">
        <f t="shared" si="15"/>
        <v>163215.96713504082</v>
      </c>
      <c r="H19" s="797">
        <f t="shared" si="15"/>
        <v>40842.618072092053</v>
      </c>
      <c r="I19" s="25">
        <f t="shared" si="10"/>
        <v>2298484.9880573684</v>
      </c>
      <c r="J19" s="797">
        <v>492</v>
      </c>
      <c r="K19" s="797">
        <f t="shared" si="11"/>
        <v>4671.7174554011553</v>
      </c>
      <c r="L19" s="698"/>
      <c r="M19" s="698"/>
      <c r="N19" s="189" t="s">
        <v>1379</v>
      </c>
      <c r="O19" s="810">
        <f t="shared" si="12"/>
        <v>40919</v>
      </c>
      <c r="P19" s="810">
        <v>40922</v>
      </c>
      <c r="Q19" s="811" t="s">
        <v>930</v>
      </c>
      <c r="R19" s="304">
        <v>100</v>
      </c>
      <c r="S19" s="842">
        <v>14729</v>
      </c>
      <c r="T19" s="25">
        <f t="shared" si="13"/>
        <v>1472900</v>
      </c>
      <c r="U19" s="451"/>
      <c r="V19" s="810"/>
      <c r="W19" s="842"/>
      <c r="X19" s="842"/>
      <c r="Y19" s="25">
        <f t="shared" si="14"/>
        <v>0</v>
      </c>
    </row>
    <row r="20" spans="1:25">
      <c r="A20" s="847">
        <f t="shared" si="8"/>
        <v>15</v>
      </c>
      <c r="B20" s="297" t="s">
        <v>1486</v>
      </c>
      <c r="C20" s="25">
        <f t="shared" si="9"/>
        <v>894336</v>
      </c>
      <c r="D20" s="797">
        <f t="shared" si="15"/>
        <v>222972.75189500663</v>
      </c>
      <c r="E20" s="797">
        <f t="shared" si="15"/>
        <v>24955.265119153653</v>
      </c>
      <c r="F20" s="797">
        <f t="shared" si="15"/>
        <v>136104.55710468435</v>
      </c>
      <c r="G20" s="797">
        <f t="shared" si="15"/>
        <v>100848.89026230163</v>
      </c>
      <c r="H20" s="797">
        <f t="shared" si="15"/>
        <v>25236.089215276388</v>
      </c>
      <c r="I20" s="25">
        <f t="shared" si="10"/>
        <v>1404453.5535964225</v>
      </c>
      <c r="J20" s="797">
        <v>304</v>
      </c>
      <c r="K20" s="797">
        <f t="shared" si="11"/>
        <v>4619.9130052513901</v>
      </c>
      <c r="L20" s="698"/>
      <c r="M20" s="698"/>
      <c r="N20" s="297" t="s">
        <v>1366</v>
      </c>
      <c r="O20" s="810">
        <f t="shared" si="12"/>
        <v>40919</v>
      </c>
      <c r="P20" s="810">
        <v>40922</v>
      </c>
      <c r="Q20" s="811" t="s">
        <v>930</v>
      </c>
      <c r="R20" s="304">
        <v>102</v>
      </c>
      <c r="S20" s="842">
        <v>8768</v>
      </c>
      <c r="T20" s="25">
        <f t="shared" si="13"/>
        <v>894336</v>
      </c>
      <c r="U20" s="451"/>
      <c r="V20" s="810"/>
      <c r="W20" s="842"/>
      <c r="X20" s="842"/>
      <c r="Y20" s="25">
        <f t="shared" si="14"/>
        <v>0</v>
      </c>
    </row>
    <row r="21" spans="1:25">
      <c r="A21" s="847">
        <f t="shared" si="8"/>
        <v>16</v>
      </c>
      <c r="B21" s="297" t="s">
        <v>1487</v>
      </c>
      <c r="C21" s="25">
        <f t="shared" si="9"/>
        <v>7198380</v>
      </c>
      <c r="D21" s="797">
        <f t="shared" si="15"/>
        <v>733462.99965462706</v>
      </c>
      <c r="E21" s="797">
        <f t="shared" si="15"/>
        <v>82089.68789195281</v>
      </c>
      <c r="F21" s="797">
        <f t="shared" si="15"/>
        <v>447712.35889698798</v>
      </c>
      <c r="G21" s="797">
        <f t="shared" si="15"/>
        <v>331739.77059967641</v>
      </c>
      <c r="H21" s="797">
        <f t="shared" si="15"/>
        <v>83013.451366040754</v>
      </c>
      <c r="I21" s="25">
        <f t="shared" si="10"/>
        <v>8876398.2684092857</v>
      </c>
      <c r="J21" s="797">
        <v>1000</v>
      </c>
      <c r="K21" s="797">
        <f t="shared" si="11"/>
        <v>8876.3982684092862</v>
      </c>
      <c r="L21" s="698"/>
      <c r="M21" s="698"/>
      <c r="N21" s="189" t="s">
        <v>1244</v>
      </c>
      <c r="O21" s="810">
        <f t="shared" si="12"/>
        <v>40919</v>
      </c>
      <c r="P21" s="810">
        <v>40922</v>
      </c>
      <c r="Q21" s="811" t="s">
        <v>930</v>
      </c>
      <c r="R21" s="304">
        <v>420</v>
      </c>
      <c r="S21" s="842">
        <v>17139</v>
      </c>
      <c r="T21" s="25">
        <f t="shared" si="13"/>
        <v>7198380</v>
      </c>
      <c r="U21" s="451"/>
      <c r="V21" s="810"/>
      <c r="W21" s="842"/>
      <c r="X21" s="842"/>
      <c r="Y21" s="25">
        <f t="shared" si="14"/>
        <v>0</v>
      </c>
    </row>
    <row r="22" spans="1:25">
      <c r="A22" s="847">
        <f t="shared" si="8"/>
        <v>17</v>
      </c>
      <c r="B22" s="297" t="s">
        <v>1488</v>
      </c>
      <c r="C22" s="25">
        <f t="shared" si="9"/>
        <v>2454165</v>
      </c>
      <c r="D22" s="797">
        <f t="shared" si="15"/>
        <v>366731.49982731353</v>
      </c>
      <c r="E22" s="797">
        <f t="shared" si="15"/>
        <v>41044.843945976405</v>
      </c>
      <c r="F22" s="797">
        <f t="shared" si="15"/>
        <v>223856.17944849399</v>
      </c>
      <c r="G22" s="797">
        <f t="shared" si="15"/>
        <v>165869.88529983821</v>
      </c>
      <c r="H22" s="797">
        <f t="shared" si="15"/>
        <v>41506.725683020377</v>
      </c>
      <c r="I22" s="25">
        <f t="shared" si="10"/>
        <v>3293174.1342046428</v>
      </c>
      <c r="J22" s="797">
        <v>500</v>
      </c>
      <c r="K22" s="797">
        <f t="shared" si="11"/>
        <v>6586.348268409286</v>
      </c>
      <c r="L22" s="698"/>
      <c r="M22" s="698"/>
      <c r="N22" s="192" t="s">
        <v>657</v>
      </c>
      <c r="O22" s="810">
        <f t="shared" si="12"/>
        <v>40919</v>
      </c>
      <c r="P22" s="810">
        <v>40922</v>
      </c>
      <c r="Q22" s="811" t="s">
        <v>930</v>
      </c>
      <c r="R22" s="304">
        <v>105</v>
      </c>
      <c r="S22" s="842">
        <v>23373</v>
      </c>
      <c r="T22" s="25">
        <f t="shared" si="13"/>
        <v>2454165</v>
      </c>
      <c r="U22" s="451"/>
      <c r="V22" s="810"/>
      <c r="W22" s="842"/>
      <c r="X22" s="842"/>
      <c r="Y22" s="25">
        <f t="shared" si="14"/>
        <v>0</v>
      </c>
    </row>
    <row r="23" spans="1:25">
      <c r="A23" s="847">
        <f t="shared" si="8"/>
        <v>18</v>
      </c>
      <c r="B23" s="297" t="s">
        <v>1481</v>
      </c>
      <c r="C23" s="25">
        <f t="shared" si="9"/>
        <v>157255</v>
      </c>
      <c r="D23" s="797">
        <f t="shared" si="15"/>
        <v>3667.3149982731356</v>
      </c>
      <c r="E23" s="797">
        <f t="shared" si="15"/>
        <v>410.44843945976402</v>
      </c>
      <c r="F23" s="797">
        <f t="shared" si="15"/>
        <v>2238.56179448494</v>
      </c>
      <c r="G23" s="797">
        <f t="shared" si="15"/>
        <v>1658.6988529983821</v>
      </c>
      <c r="H23" s="797">
        <f t="shared" si="15"/>
        <v>415.06725683020375</v>
      </c>
      <c r="I23" s="25">
        <f t="shared" si="10"/>
        <v>165645.09134204639</v>
      </c>
      <c r="J23" s="797">
        <v>5</v>
      </c>
      <c r="K23" s="797">
        <f t="shared" si="11"/>
        <v>33129.01826840928</v>
      </c>
      <c r="L23" s="698"/>
      <c r="M23" s="698"/>
      <c r="N23" s="297" t="s">
        <v>1249</v>
      </c>
      <c r="O23" s="810">
        <f t="shared" si="12"/>
        <v>40921</v>
      </c>
      <c r="P23" s="810">
        <v>40924</v>
      </c>
      <c r="Q23" s="811" t="s">
        <v>931</v>
      </c>
      <c r="R23" s="304">
        <v>5</v>
      </c>
      <c r="S23" s="842">
        <v>31451</v>
      </c>
      <c r="T23" s="25">
        <f t="shared" si="13"/>
        <v>157255</v>
      </c>
      <c r="U23" s="451"/>
      <c r="V23" s="810"/>
      <c r="W23" s="842"/>
      <c r="X23" s="842"/>
      <c r="Y23" s="25">
        <f t="shared" si="14"/>
        <v>0</v>
      </c>
    </row>
    <row r="24" spans="1:25">
      <c r="A24" s="847">
        <f t="shared" si="8"/>
        <v>19</v>
      </c>
      <c r="B24" s="297" t="s">
        <v>1483</v>
      </c>
      <c r="C24" s="25">
        <f t="shared" si="9"/>
        <v>15385</v>
      </c>
      <c r="D24" s="797">
        <f t="shared" si="15"/>
        <v>733.46299965462708</v>
      </c>
      <c r="E24" s="797">
        <f t="shared" si="15"/>
        <v>82.089687891952806</v>
      </c>
      <c r="F24" s="797">
        <f t="shared" si="15"/>
        <v>447.71235889698801</v>
      </c>
      <c r="G24" s="797">
        <f t="shared" si="15"/>
        <v>331.73977059967643</v>
      </c>
      <c r="H24" s="797">
        <f t="shared" si="15"/>
        <v>83.013451366040755</v>
      </c>
      <c r="I24" s="25">
        <f t="shared" si="10"/>
        <v>17063.018268409283</v>
      </c>
      <c r="J24" s="797">
        <v>1</v>
      </c>
      <c r="K24" s="797">
        <f t="shared" si="11"/>
        <v>17063.018268409283</v>
      </c>
      <c r="L24" s="698"/>
      <c r="M24" s="698"/>
      <c r="N24" s="189" t="s">
        <v>617</v>
      </c>
      <c r="O24" s="810">
        <f t="shared" si="12"/>
        <v>40921</v>
      </c>
      <c r="P24" s="810">
        <v>40924</v>
      </c>
      <c r="Q24" s="811" t="s">
        <v>931</v>
      </c>
      <c r="R24" s="304">
        <f>J24</f>
        <v>1</v>
      </c>
      <c r="S24" s="842">
        <v>15385</v>
      </c>
      <c r="T24" s="25">
        <f t="shared" si="13"/>
        <v>15385</v>
      </c>
      <c r="U24" s="451"/>
      <c r="V24" s="810"/>
      <c r="W24" s="842"/>
      <c r="X24" s="842"/>
      <c r="Y24" s="25">
        <f t="shared" si="14"/>
        <v>0</v>
      </c>
    </row>
    <row r="25" spans="1:25">
      <c r="A25" s="847">
        <f t="shared" si="8"/>
        <v>20</v>
      </c>
      <c r="B25" s="297" t="s">
        <v>1484</v>
      </c>
      <c r="C25" s="25">
        <f t="shared" si="9"/>
        <v>3123410</v>
      </c>
      <c r="D25" s="797">
        <f t="shared" si="15"/>
        <v>66745.132968571066</v>
      </c>
      <c r="E25" s="797">
        <f t="shared" si="15"/>
        <v>7470.1615981677051</v>
      </c>
      <c r="F25" s="797">
        <f t="shared" si="15"/>
        <v>40741.824659625912</v>
      </c>
      <c r="G25" s="797">
        <f t="shared" si="15"/>
        <v>30188.319124570557</v>
      </c>
      <c r="H25" s="797">
        <f t="shared" si="15"/>
        <v>7554.2240743097091</v>
      </c>
      <c r="I25" s="25">
        <f t="shared" si="10"/>
        <v>3276109.6624252452</v>
      </c>
      <c r="J25" s="797">
        <v>91</v>
      </c>
      <c r="K25" s="797">
        <f t="shared" si="11"/>
        <v>36001.205081596097</v>
      </c>
      <c r="L25" s="698"/>
      <c r="M25" s="698"/>
      <c r="N25" s="189" t="s">
        <v>1260</v>
      </c>
      <c r="O25" s="810">
        <f t="shared" si="12"/>
        <v>40921</v>
      </c>
      <c r="P25" s="810">
        <v>40924</v>
      </c>
      <c r="Q25" s="811" t="s">
        <v>931</v>
      </c>
      <c r="R25" s="304">
        <v>95</v>
      </c>
      <c r="S25" s="842">
        <v>32878</v>
      </c>
      <c r="T25" s="25">
        <f t="shared" si="13"/>
        <v>3123410</v>
      </c>
      <c r="U25" s="451"/>
      <c r="V25" s="810"/>
      <c r="W25" s="842"/>
      <c r="X25" s="842"/>
      <c r="Y25" s="25">
        <f t="shared" si="14"/>
        <v>0</v>
      </c>
    </row>
    <row r="26" spans="1:25">
      <c r="A26" s="847">
        <f t="shared" si="8"/>
        <v>21</v>
      </c>
      <c r="B26" s="297" t="s">
        <v>1235</v>
      </c>
      <c r="C26" s="25">
        <f t="shared" si="9"/>
        <v>5428440</v>
      </c>
      <c r="D26" s="797">
        <f t="shared" ref="D26:H35" si="16">IF($J$192&lt;&gt;0,D$192/$J$192*$J26,0)</f>
        <v>154027.22992747169</v>
      </c>
      <c r="E26" s="797">
        <f t="shared" si="16"/>
        <v>17238.834457310088</v>
      </c>
      <c r="F26" s="797">
        <f t="shared" si="16"/>
        <v>94019.595368367474</v>
      </c>
      <c r="G26" s="797">
        <f t="shared" si="16"/>
        <v>69665.351825932055</v>
      </c>
      <c r="H26" s="797">
        <f t="shared" si="16"/>
        <v>17432.824786868558</v>
      </c>
      <c r="I26" s="25">
        <f t="shared" si="10"/>
        <v>5780823.8363659503</v>
      </c>
      <c r="J26" s="797">
        <v>210</v>
      </c>
      <c r="K26" s="797">
        <f t="shared" si="11"/>
        <v>27527.732554123573</v>
      </c>
      <c r="L26" s="698"/>
      <c r="M26" s="698"/>
      <c r="N26" s="189" t="s">
        <v>1252</v>
      </c>
      <c r="O26" s="810">
        <f t="shared" si="12"/>
        <v>40921</v>
      </c>
      <c r="P26" s="810">
        <v>40924</v>
      </c>
      <c r="Q26" s="811" t="s">
        <v>931</v>
      </c>
      <c r="R26" s="304">
        <v>180</v>
      </c>
      <c r="S26" s="842">
        <v>30158</v>
      </c>
      <c r="T26" s="25">
        <f t="shared" si="13"/>
        <v>5428440</v>
      </c>
      <c r="U26" s="451"/>
      <c r="V26" s="810"/>
      <c r="W26" s="842"/>
      <c r="X26" s="842"/>
      <c r="Y26" s="25">
        <f t="shared" si="14"/>
        <v>0</v>
      </c>
    </row>
    <row r="27" spans="1:25">
      <c r="A27" s="847">
        <f t="shared" si="8"/>
        <v>22</v>
      </c>
      <c r="B27" s="297" t="s">
        <v>1236</v>
      </c>
      <c r="C27" s="25">
        <f t="shared" si="9"/>
        <v>184128</v>
      </c>
      <c r="D27" s="797">
        <f t="shared" si="16"/>
        <v>308054.45985494339</v>
      </c>
      <c r="E27" s="797">
        <f t="shared" si="16"/>
        <v>34477.668914620175</v>
      </c>
      <c r="F27" s="797">
        <f t="shared" si="16"/>
        <v>188039.19073673495</v>
      </c>
      <c r="G27" s="797">
        <f t="shared" si="16"/>
        <v>139330.70365186411</v>
      </c>
      <c r="H27" s="797">
        <f t="shared" si="16"/>
        <v>34865.649573737115</v>
      </c>
      <c r="I27" s="25">
        <f t="shared" si="10"/>
        <v>888895.67273189966</v>
      </c>
      <c r="J27" s="797">
        <v>420</v>
      </c>
      <c r="K27" s="797">
        <f t="shared" si="11"/>
        <v>2116.4182684092848</v>
      </c>
      <c r="L27" s="698"/>
      <c r="M27" s="698"/>
      <c r="N27" s="297" t="s">
        <v>1366</v>
      </c>
      <c r="O27" s="810">
        <f t="shared" si="12"/>
        <v>40921</v>
      </c>
      <c r="P27" s="810">
        <v>40924</v>
      </c>
      <c r="Q27" s="811" t="s">
        <v>931</v>
      </c>
      <c r="R27" s="304">
        <v>21</v>
      </c>
      <c r="S27" s="842">
        <v>8768</v>
      </c>
      <c r="T27" s="25">
        <f t="shared" si="13"/>
        <v>184128</v>
      </c>
      <c r="U27" s="451"/>
      <c r="V27" s="810"/>
      <c r="W27" s="842"/>
      <c r="X27" s="842"/>
      <c r="Y27" s="25">
        <f t="shared" si="14"/>
        <v>0</v>
      </c>
    </row>
    <row r="28" spans="1:25">
      <c r="A28" s="847">
        <f t="shared" si="8"/>
        <v>23</v>
      </c>
      <c r="B28" s="297" t="s">
        <v>1485</v>
      </c>
      <c r="C28" s="25">
        <f t="shared" si="9"/>
        <v>157824</v>
      </c>
      <c r="D28" s="797">
        <f t="shared" si="16"/>
        <v>132023.33993783288</v>
      </c>
      <c r="E28" s="797">
        <f t="shared" si="16"/>
        <v>14776.143820551506</v>
      </c>
      <c r="F28" s="797">
        <f t="shared" si="16"/>
        <v>80588.224601457841</v>
      </c>
      <c r="G28" s="797">
        <f t="shared" si="16"/>
        <v>59713.158707941759</v>
      </c>
      <c r="H28" s="797">
        <f t="shared" si="16"/>
        <v>14942.421245887335</v>
      </c>
      <c r="I28" s="25">
        <f t="shared" si="10"/>
        <v>459867.28831367136</v>
      </c>
      <c r="J28" s="797">
        <v>180</v>
      </c>
      <c r="K28" s="797">
        <f t="shared" si="11"/>
        <v>2554.8182684092853</v>
      </c>
      <c r="L28" s="698"/>
      <c r="M28" s="698"/>
      <c r="N28" s="297" t="s">
        <v>1366</v>
      </c>
      <c r="O28" s="810">
        <f t="shared" si="12"/>
        <v>40921</v>
      </c>
      <c r="P28" s="810">
        <v>40924</v>
      </c>
      <c r="Q28" s="811" t="s">
        <v>931</v>
      </c>
      <c r="R28" s="304">
        <v>18</v>
      </c>
      <c r="S28" s="842">
        <v>8768</v>
      </c>
      <c r="T28" s="25">
        <f t="shared" si="13"/>
        <v>157824</v>
      </c>
      <c r="U28" s="451"/>
      <c r="V28" s="810"/>
      <c r="W28" s="842"/>
      <c r="X28" s="842"/>
      <c r="Y28" s="25">
        <f t="shared" si="14"/>
        <v>0</v>
      </c>
    </row>
    <row r="29" spans="1:25">
      <c r="A29" s="847">
        <f t="shared" si="8"/>
        <v>24</v>
      </c>
      <c r="B29" s="297" t="s">
        <v>1496</v>
      </c>
      <c r="C29" s="25">
        <f t="shared" si="9"/>
        <v>1076185</v>
      </c>
      <c r="D29" s="797">
        <f t="shared" si="16"/>
        <v>66011.669968916438</v>
      </c>
      <c r="E29" s="797">
        <f t="shared" si="16"/>
        <v>7388.071910275753</v>
      </c>
      <c r="F29" s="797">
        <f t="shared" si="16"/>
        <v>40294.112300728921</v>
      </c>
      <c r="G29" s="797">
        <f t="shared" si="16"/>
        <v>29856.579353970879</v>
      </c>
      <c r="H29" s="797">
        <f t="shared" si="16"/>
        <v>7471.2106229436677</v>
      </c>
      <c r="I29" s="25">
        <f t="shared" si="10"/>
        <v>1227206.6441568357</v>
      </c>
      <c r="J29" s="797">
        <v>90</v>
      </c>
      <c r="K29" s="797">
        <f t="shared" si="11"/>
        <v>13635.629379520396</v>
      </c>
      <c r="L29" s="698"/>
      <c r="M29" s="698"/>
      <c r="N29" s="189" t="s">
        <v>1373</v>
      </c>
      <c r="O29" s="810">
        <f t="shared" si="12"/>
        <v>40922</v>
      </c>
      <c r="P29" s="810">
        <v>40925</v>
      </c>
      <c r="Q29" s="811" t="s">
        <v>1547</v>
      </c>
      <c r="R29" s="304">
        <v>55</v>
      </c>
      <c r="S29" s="842">
        <v>19567</v>
      </c>
      <c r="T29" s="25">
        <f t="shared" si="13"/>
        <v>1076185</v>
      </c>
      <c r="U29" s="451"/>
      <c r="V29" s="810"/>
      <c r="W29" s="842"/>
      <c r="X29" s="842"/>
      <c r="Y29" s="25">
        <f t="shared" si="14"/>
        <v>0</v>
      </c>
    </row>
    <row r="30" spans="1:25">
      <c r="A30" s="847">
        <f t="shared" si="8"/>
        <v>25</v>
      </c>
      <c r="B30" s="297" t="s">
        <v>1497</v>
      </c>
      <c r="C30" s="25">
        <f t="shared" si="9"/>
        <v>916290</v>
      </c>
      <c r="D30" s="797">
        <f t="shared" si="16"/>
        <v>132023.33993783288</v>
      </c>
      <c r="E30" s="797">
        <f t="shared" si="16"/>
        <v>14776.143820551506</v>
      </c>
      <c r="F30" s="797">
        <f t="shared" si="16"/>
        <v>80588.224601457841</v>
      </c>
      <c r="G30" s="797">
        <f t="shared" si="16"/>
        <v>59713.158707941759</v>
      </c>
      <c r="H30" s="797">
        <f t="shared" si="16"/>
        <v>14942.421245887335</v>
      </c>
      <c r="I30" s="25">
        <f t="shared" si="10"/>
        <v>1218333.2883136712</v>
      </c>
      <c r="J30" s="797">
        <v>180</v>
      </c>
      <c r="K30" s="797">
        <f t="shared" si="11"/>
        <v>6768.5182684092852</v>
      </c>
      <c r="L30" s="698"/>
      <c r="M30" s="698"/>
      <c r="N30" s="189" t="s">
        <v>1371</v>
      </c>
      <c r="O30" s="810">
        <f t="shared" si="12"/>
        <v>40922</v>
      </c>
      <c r="P30" s="810">
        <v>40925</v>
      </c>
      <c r="Q30" s="811" t="s">
        <v>1547</v>
      </c>
      <c r="R30" s="304">
        <f>J30/4</f>
        <v>45</v>
      </c>
      <c r="S30" s="842">
        <v>20362</v>
      </c>
      <c r="T30" s="25">
        <f t="shared" si="13"/>
        <v>916290</v>
      </c>
      <c r="U30" s="451"/>
      <c r="V30" s="810"/>
      <c r="W30" s="842"/>
      <c r="X30" s="842"/>
      <c r="Y30" s="25">
        <f t="shared" si="14"/>
        <v>0</v>
      </c>
    </row>
    <row r="31" spans="1:25">
      <c r="A31" s="847">
        <f t="shared" si="8"/>
        <v>26</v>
      </c>
      <c r="B31" s="297" t="s">
        <v>1498</v>
      </c>
      <c r="C31" s="25">
        <f t="shared" si="9"/>
        <v>222430</v>
      </c>
      <c r="D31" s="797">
        <f t="shared" si="16"/>
        <v>14669.259993092543</v>
      </c>
      <c r="E31" s="797">
        <f t="shared" si="16"/>
        <v>1641.7937578390561</v>
      </c>
      <c r="F31" s="797">
        <f t="shared" si="16"/>
        <v>8954.2471779397601</v>
      </c>
      <c r="G31" s="797">
        <f t="shared" si="16"/>
        <v>6634.7954119935284</v>
      </c>
      <c r="H31" s="797">
        <f t="shared" si="16"/>
        <v>1660.269027320815</v>
      </c>
      <c r="I31" s="25">
        <f t="shared" si="10"/>
        <v>255990.36536818571</v>
      </c>
      <c r="J31" s="797">
        <v>20</v>
      </c>
      <c r="K31" s="797">
        <f t="shared" si="11"/>
        <v>12799.518268409285</v>
      </c>
      <c r="L31" s="698"/>
      <c r="M31" s="698"/>
      <c r="N31" s="192" t="s">
        <v>670</v>
      </c>
      <c r="O31" s="810">
        <f t="shared" si="12"/>
        <v>40922</v>
      </c>
      <c r="P31" s="810">
        <v>40925</v>
      </c>
      <c r="Q31" s="811" t="s">
        <v>1547</v>
      </c>
      <c r="R31" s="304">
        <v>26</v>
      </c>
      <c r="S31" s="842">
        <v>8555</v>
      </c>
      <c r="T31" s="25">
        <f t="shared" si="13"/>
        <v>222430</v>
      </c>
      <c r="U31" s="451"/>
      <c r="V31" s="810"/>
      <c r="W31" s="842"/>
      <c r="X31" s="842"/>
      <c r="Y31" s="25">
        <f t="shared" si="14"/>
        <v>0</v>
      </c>
    </row>
    <row r="32" spans="1:25">
      <c r="A32" s="847">
        <f t="shared" si="8"/>
        <v>27</v>
      </c>
      <c r="B32" s="297" t="s">
        <v>1499</v>
      </c>
      <c r="C32" s="25">
        <f t="shared" si="9"/>
        <v>2592368</v>
      </c>
      <c r="D32" s="797">
        <f t="shared" si="16"/>
        <v>432743.16979622998</v>
      </c>
      <c r="E32" s="797">
        <f t="shared" si="16"/>
        <v>48432.915856252155</v>
      </c>
      <c r="F32" s="797">
        <f t="shared" si="16"/>
        <v>264150.2917492229</v>
      </c>
      <c r="G32" s="797">
        <f t="shared" si="16"/>
        <v>195726.46465380909</v>
      </c>
      <c r="H32" s="797">
        <f t="shared" si="16"/>
        <v>48977.936305964045</v>
      </c>
      <c r="I32" s="25">
        <f t="shared" si="10"/>
        <v>3582398.7783614779</v>
      </c>
      <c r="J32" s="797">
        <v>590</v>
      </c>
      <c r="K32" s="797">
        <f t="shared" si="11"/>
        <v>6071.8623362058943</v>
      </c>
      <c r="L32" s="698"/>
      <c r="M32" s="698"/>
      <c r="N32" s="189" t="s">
        <v>1372</v>
      </c>
      <c r="O32" s="810">
        <f t="shared" si="12"/>
        <v>40922</v>
      </c>
      <c r="P32" s="810">
        <v>40925</v>
      </c>
      <c r="Q32" s="811" t="s">
        <v>1547</v>
      </c>
      <c r="R32" s="304">
        <v>116</v>
      </c>
      <c r="S32" s="842">
        <v>22348</v>
      </c>
      <c r="T32" s="25">
        <f t="shared" si="13"/>
        <v>2592368</v>
      </c>
      <c r="U32" s="451"/>
      <c r="V32" s="810"/>
      <c r="W32" s="842"/>
      <c r="X32" s="842"/>
      <c r="Y32" s="25">
        <f t="shared" si="14"/>
        <v>0</v>
      </c>
    </row>
    <row r="33" spans="1:25">
      <c r="A33" s="847">
        <f t="shared" si="8"/>
        <v>28</v>
      </c>
      <c r="B33" s="297" t="s">
        <v>1500</v>
      </c>
      <c r="C33" s="25">
        <f t="shared" si="9"/>
        <v>171100</v>
      </c>
      <c r="D33" s="797">
        <f t="shared" si="16"/>
        <v>44007.779979277628</v>
      </c>
      <c r="E33" s="797">
        <f t="shared" si="16"/>
        <v>4925.3812735171687</v>
      </c>
      <c r="F33" s="797">
        <f t="shared" si="16"/>
        <v>26862.74153381928</v>
      </c>
      <c r="G33" s="797">
        <f t="shared" si="16"/>
        <v>19904.386235980586</v>
      </c>
      <c r="H33" s="797">
        <f t="shared" si="16"/>
        <v>4980.8070819624454</v>
      </c>
      <c r="I33" s="25">
        <f t="shared" si="10"/>
        <v>271781.09610455716</v>
      </c>
      <c r="J33" s="797">
        <v>60</v>
      </c>
      <c r="K33" s="797">
        <f t="shared" si="11"/>
        <v>4529.684935075953</v>
      </c>
      <c r="L33" s="698"/>
      <c r="M33" s="698"/>
      <c r="N33" s="192" t="s">
        <v>670</v>
      </c>
      <c r="O33" s="810">
        <f t="shared" si="12"/>
        <v>40922</v>
      </c>
      <c r="P33" s="810">
        <v>40925</v>
      </c>
      <c r="Q33" s="811" t="s">
        <v>1547</v>
      </c>
      <c r="R33" s="304">
        <v>20</v>
      </c>
      <c r="S33" s="842">
        <v>8555</v>
      </c>
      <c r="T33" s="25">
        <f t="shared" si="13"/>
        <v>171100</v>
      </c>
      <c r="U33" s="451"/>
      <c r="V33" s="810"/>
      <c r="W33" s="842"/>
      <c r="X33" s="842"/>
      <c r="Y33" s="25">
        <f t="shared" si="14"/>
        <v>0</v>
      </c>
    </row>
    <row r="34" spans="1:25">
      <c r="A34" s="847">
        <f t="shared" si="8"/>
        <v>29</v>
      </c>
      <c r="B34" s="297" t="s">
        <v>1501</v>
      </c>
      <c r="C34" s="25">
        <f t="shared" si="9"/>
        <v>1018100</v>
      </c>
      <c r="D34" s="797">
        <f t="shared" si="16"/>
        <v>110019.44994819406</v>
      </c>
      <c r="E34" s="797">
        <f t="shared" si="16"/>
        <v>12313.453183792921</v>
      </c>
      <c r="F34" s="797">
        <f t="shared" si="16"/>
        <v>67156.853834548208</v>
      </c>
      <c r="G34" s="797">
        <f t="shared" si="16"/>
        <v>49760.965589951462</v>
      </c>
      <c r="H34" s="797">
        <f t="shared" si="16"/>
        <v>12452.017704906113</v>
      </c>
      <c r="I34" s="25">
        <f t="shared" si="10"/>
        <v>1269802.7402613929</v>
      </c>
      <c r="J34" s="797">
        <v>150</v>
      </c>
      <c r="K34" s="797">
        <f t="shared" si="11"/>
        <v>8465.3516017426191</v>
      </c>
      <c r="L34" s="698"/>
      <c r="M34" s="698"/>
      <c r="N34" s="189" t="s">
        <v>1371</v>
      </c>
      <c r="O34" s="810">
        <f t="shared" si="12"/>
        <v>40922</v>
      </c>
      <c r="P34" s="810">
        <v>40925</v>
      </c>
      <c r="Q34" s="811" t="s">
        <v>1547</v>
      </c>
      <c r="R34" s="304">
        <v>50</v>
      </c>
      <c r="S34" s="842">
        <v>20362</v>
      </c>
      <c r="T34" s="25">
        <f t="shared" si="13"/>
        <v>1018100</v>
      </c>
      <c r="U34" s="451"/>
      <c r="V34" s="810"/>
      <c r="W34" s="842"/>
      <c r="X34" s="842"/>
      <c r="Y34" s="25">
        <f t="shared" si="14"/>
        <v>0</v>
      </c>
    </row>
    <row r="35" spans="1:25">
      <c r="A35" s="847">
        <f t="shared" si="8"/>
        <v>30</v>
      </c>
      <c r="B35" s="297" t="s">
        <v>1502</v>
      </c>
      <c r="C35" s="25">
        <f t="shared" si="9"/>
        <v>1628960</v>
      </c>
      <c r="D35" s="797">
        <f t="shared" si="16"/>
        <v>159894.93392470869</v>
      </c>
      <c r="E35" s="797">
        <f t="shared" si="16"/>
        <v>17895.551960445711</v>
      </c>
      <c r="F35" s="797">
        <f t="shared" si="16"/>
        <v>97601.294239543378</v>
      </c>
      <c r="G35" s="797">
        <f t="shared" si="16"/>
        <v>72319.269990729459</v>
      </c>
      <c r="H35" s="797">
        <f t="shared" si="16"/>
        <v>18096.932397796885</v>
      </c>
      <c r="I35" s="25">
        <f t="shared" si="10"/>
        <v>1994767.982513224</v>
      </c>
      <c r="J35" s="797">
        <v>218</v>
      </c>
      <c r="K35" s="797">
        <f t="shared" si="11"/>
        <v>9150.3118463909359</v>
      </c>
      <c r="L35" s="698"/>
      <c r="M35" s="698"/>
      <c r="N35" s="189" t="s">
        <v>1371</v>
      </c>
      <c r="O35" s="810">
        <f t="shared" si="12"/>
        <v>40922</v>
      </c>
      <c r="P35" s="810">
        <v>40925</v>
      </c>
      <c r="Q35" s="811" t="s">
        <v>1547</v>
      </c>
      <c r="R35" s="304">
        <v>80</v>
      </c>
      <c r="S35" s="842">
        <v>20362</v>
      </c>
      <c r="T35" s="25">
        <f t="shared" si="13"/>
        <v>1628960</v>
      </c>
      <c r="U35" s="451"/>
      <c r="V35" s="810"/>
      <c r="W35" s="842"/>
      <c r="X35" s="842"/>
      <c r="Y35" s="25">
        <f t="shared" si="14"/>
        <v>0</v>
      </c>
    </row>
    <row r="36" spans="1:25">
      <c r="A36" s="847">
        <f t="shared" si="8"/>
        <v>31</v>
      </c>
      <c r="B36" s="297" t="s">
        <v>1548</v>
      </c>
      <c r="C36" s="25">
        <f t="shared" si="9"/>
        <v>489175</v>
      </c>
      <c r="D36" s="797">
        <f t="shared" ref="D36:H45" si="17">IF($J$192&lt;&gt;0,D$192/$J$192*$J36,0)</f>
        <v>29338.519986185085</v>
      </c>
      <c r="E36" s="797">
        <f t="shared" si="17"/>
        <v>3283.5875156781121</v>
      </c>
      <c r="F36" s="797">
        <f t="shared" si="17"/>
        <v>17908.49435587952</v>
      </c>
      <c r="G36" s="797">
        <f t="shared" si="17"/>
        <v>13269.590823987057</v>
      </c>
      <c r="H36" s="797">
        <f t="shared" si="17"/>
        <v>3320.53805464163</v>
      </c>
      <c r="I36" s="25">
        <f t="shared" si="10"/>
        <v>556295.73073637148</v>
      </c>
      <c r="J36" s="797">
        <v>40</v>
      </c>
      <c r="K36" s="797">
        <f t="shared" si="11"/>
        <v>13907.393268409287</v>
      </c>
      <c r="L36" s="698"/>
      <c r="M36" s="698"/>
      <c r="N36" s="189" t="s">
        <v>1373</v>
      </c>
      <c r="O36" s="810">
        <f t="shared" si="12"/>
        <v>40922</v>
      </c>
      <c r="P36" s="810">
        <v>40925</v>
      </c>
      <c r="Q36" s="811" t="s">
        <v>1547</v>
      </c>
      <c r="R36" s="304">
        <v>25</v>
      </c>
      <c r="S36" s="842">
        <v>19567</v>
      </c>
      <c r="T36" s="25">
        <f t="shared" si="13"/>
        <v>489175</v>
      </c>
      <c r="U36" s="451"/>
      <c r="V36" s="810"/>
      <c r="W36" s="842"/>
      <c r="X36" s="842"/>
      <c r="Y36" s="25">
        <f t="shared" si="14"/>
        <v>0</v>
      </c>
    </row>
    <row r="37" spans="1:25">
      <c r="A37" s="847">
        <f t="shared" si="8"/>
        <v>32</v>
      </c>
      <c r="B37" s="297" t="s">
        <v>1504</v>
      </c>
      <c r="C37" s="25">
        <f t="shared" si="9"/>
        <v>2257920</v>
      </c>
      <c r="D37" s="797">
        <f t="shared" si="17"/>
        <v>256712.04987911947</v>
      </c>
      <c r="E37" s="797">
        <f t="shared" si="17"/>
        <v>28731.390762183481</v>
      </c>
      <c r="F37" s="797">
        <f t="shared" si="17"/>
        <v>156699.32561394581</v>
      </c>
      <c r="G37" s="797">
        <f t="shared" si="17"/>
        <v>116108.91970988674</v>
      </c>
      <c r="H37" s="797">
        <f t="shared" si="17"/>
        <v>29054.707978114264</v>
      </c>
      <c r="I37" s="25">
        <f t="shared" si="10"/>
        <v>2845226.3939432497</v>
      </c>
      <c r="J37" s="797">
        <v>350</v>
      </c>
      <c r="K37" s="797">
        <f t="shared" si="11"/>
        <v>8129.218268409285</v>
      </c>
      <c r="L37" s="698"/>
      <c r="M37" s="698"/>
      <c r="N37" s="192" t="s">
        <v>628</v>
      </c>
      <c r="O37" s="810">
        <f t="shared" si="12"/>
        <v>40922</v>
      </c>
      <c r="P37" s="810">
        <v>40925</v>
      </c>
      <c r="Q37" s="811" t="s">
        <v>1547</v>
      </c>
      <c r="R37" s="304">
        <v>140</v>
      </c>
      <c r="S37" s="842">
        <v>16128</v>
      </c>
      <c r="T37" s="25">
        <f t="shared" si="13"/>
        <v>2257920</v>
      </c>
      <c r="U37" s="451"/>
      <c r="V37" s="810"/>
      <c r="W37" s="842"/>
      <c r="X37" s="842"/>
      <c r="Y37" s="25">
        <f t="shared" si="14"/>
        <v>0</v>
      </c>
    </row>
    <row r="38" spans="1:25">
      <c r="A38" s="847">
        <f t="shared" si="8"/>
        <v>33</v>
      </c>
      <c r="B38" s="297" t="s">
        <v>1505</v>
      </c>
      <c r="C38" s="25">
        <f t="shared" si="9"/>
        <v>2702260</v>
      </c>
      <c r="D38" s="797">
        <f t="shared" si="17"/>
        <v>268447.45787359349</v>
      </c>
      <c r="E38" s="797">
        <f t="shared" si="17"/>
        <v>30044.825768454728</v>
      </c>
      <c r="F38" s="797">
        <f t="shared" si="17"/>
        <v>163862.72335629762</v>
      </c>
      <c r="G38" s="797">
        <f t="shared" si="17"/>
        <v>121416.75603948158</v>
      </c>
      <c r="H38" s="797">
        <f t="shared" si="17"/>
        <v>30382.923199970915</v>
      </c>
      <c r="I38" s="25">
        <f t="shared" si="10"/>
        <v>3316414.6862377985</v>
      </c>
      <c r="J38" s="797">
        <v>366</v>
      </c>
      <c r="K38" s="797">
        <f t="shared" si="11"/>
        <v>9061.2423121251322</v>
      </c>
      <c r="L38" s="698"/>
      <c r="M38" s="698"/>
      <c r="N38" s="189" t="s">
        <v>1255</v>
      </c>
      <c r="O38" s="810">
        <f t="shared" si="12"/>
        <v>40922</v>
      </c>
      <c r="P38" s="810">
        <v>40925</v>
      </c>
      <c r="Q38" s="811" t="s">
        <v>1547</v>
      </c>
      <c r="R38" s="304">
        <v>110</v>
      </c>
      <c r="S38" s="842">
        <v>24566</v>
      </c>
      <c r="T38" s="25">
        <f t="shared" si="13"/>
        <v>2702260</v>
      </c>
      <c r="U38" s="451"/>
      <c r="V38" s="810"/>
      <c r="W38" s="842"/>
      <c r="X38" s="842"/>
      <c r="Y38" s="25">
        <f t="shared" si="14"/>
        <v>0</v>
      </c>
    </row>
    <row r="39" spans="1:25">
      <c r="A39" s="847">
        <f t="shared" si="8"/>
        <v>34</v>
      </c>
      <c r="B39" s="297" t="s">
        <v>1512</v>
      </c>
      <c r="C39" s="25">
        <f t="shared" si="9"/>
        <v>3224520</v>
      </c>
      <c r="D39" s="797">
        <f t="shared" si="17"/>
        <v>366731.49982731353</v>
      </c>
      <c r="E39" s="797">
        <f t="shared" si="17"/>
        <v>41044.843945976405</v>
      </c>
      <c r="F39" s="797">
        <f t="shared" si="17"/>
        <v>223856.17944849399</v>
      </c>
      <c r="G39" s="797">
        <f t="shared" si="17"/>
        <v>165869.88529983821</v>
      </c>
      <c r="H39" s="797">
        <f t="shared" si="17"/>
        <v>41506.725683020377</v>
      </c>
      <c r="I39" s="25">
        <f t="shared" si="10"/>
        <v>4063529.1342046428</v>
      </c>
      <c r="J39" s="797">
        <v>500</v>
      </c>
      <c r="K39" s="797">
        <f t="shared" si="11"/>
        <v>8127.058268409286</v>
      </c>
      <c r="L39" s="698"/>
      <c r="M39" s="698"/>
      <c r="N39" s="189" t="s">
        <v>649</v>
      </c>
      <c r="O39" s="810">
        <f t="shared" si="12"/>
        <v>40923</v>
      </c>
      <c r="P39" s="810">
        <v>40926</v>
      </c>
      <c r="Q39" s="811" t="s">
        <v>1549</v>
      </c>
      <c r="R39" s="304">
        <v>169</v>
      </c>
      <c r="S39" s="842">
        <v>19080</v>
      </c>
      <c r="T39" s="25">
        <f t="shared" si="13"/>
        <v>3224520</v>
      </c>
      <c r="U39" s="451"/>
      <c r="V39" s="810"/>
      <c r="W39" s="842"/>
      <c r="X39" s="842"/>
      <c r="Y39" s="25">
        <f t="shared" si="14"/>
        <v>0</v>
      </c>
    </row>
    <row r="40" spans="1:25">
      <c r="A40" s="847">
        <f t="shared" si="8"/>
        <v>35</v>
      </c>
      <c r="B40" s="297" t="s">
        <v>1513</v>
      </c>
      <c r="C40" s="25">
        <f t="shared" si="9"/>
        <v>3126018</v>
      </c>
      <c r="D40" s="797">
        <f t="shared" si="17"/>
        <v>176031.11991711051</v>
      </c>
      <c r="E40" s="797">
        <f t="shared" si="17"/>
        <v>19701.525094068675</v>
      </c>
      <c r="F40" s="797">
        <f t="shared" si="17"/>
        <v>107450.96613527712</v>
      </c>
      <c r="G40" s="797">
        <f t="shared" si="17"/>
        <v>79617.544943922345</v>
      </c>
      <c r="H40" s="797">
        <f t="shared" si="17"/>
        <v>19923.228327849782</v>
      </c>
      <c r="I40" s="25">
        <f t="shared" si="10"/>
        <v>3528742.3844182282</v>
      </c>
      <c r="J40" s="797">
        <v>240</v>
      </c>
      <c r="K40" s="797">
        <f t="shared" si="11"/>
        <v>14703.093268409284</v>
      </c>
      <c r="L40" s="698"/>
      <c r="M40" s="698"/>
      <c r="N40" s="192" t="s">
        <v>660</v>
      </c>
      <c r="O40" s="810">
        <f t="shared" si="12"/>
        <v>40923</v>
      </c>
      <c r="P40" s="810">
        <v>40926</v>
      </c>
      <c r="Q40" s="811" t="s">
        <v>1549</v>
      </c>
      <c r="R40" s="304">
        <v>263</v>
      </c>
      <c r="S40" s="842">
        <v>11886</v>
      </c>
      <c r="T40" s="25">
        <f t="shared" si="13"/>
        <v>3126018</v>
      </c>
      <c r="U40" s="451"/>
      <c r="V40" s="810"/>
      <c r="W40" s="842"/>
      <c r="X40" s="842"/>
      <c r="Y40" s="25">
        <f t="shared" si="14"/>
        <v>0</v>
      </c>
    </row>
    <row r="41" spans="1:25">
      <c r="A41" s="847">
        <f t="shared" si="8"/>
        <v>36</v>
      </c>
      <c r="B41" s="297" t="s">
        <v>1514</v>
      </c>
      <c r="C41" s="25">
        <f t="shared" si="9"/>
        <v>1663195</v>
      </c>
      <c r="D41" s="797">
        <f t="shared" si="17"/>
        <v>124688.70994128661</v>
      </c>
      <c r="E41" s="797">
        <f t="shared" si="17"/>
        <v>13955.246941631976</v>
      </c>
      <c r="F41" s="797">
        <f t="shared" si="17"/>
        <v>76111.101012487954</v>
      </c>
      <c r="G41" s="797">
        <f t="shared" si="17"/>
        <v>56395.761001944993</v>
      </c>
      <c r="H41" s="797">
        <f t="shared" si="17"/>
        <v>14112.286732226929</v>
      </c>
      <c r="I41" s="25">
        <f t="shared" si="10"/>
        <v>1948458.1056295782</v>
      </c>
      <c r="J41" s="797">
        <v>170</v>
      </c>
      <c r="K41" s="797">
        <f t="shared" si="11"/>
        <v>11461.518268409283</v>
      </c>
      <c r="L41" s="698"/>
      <c r="M41" s="698"/>
      <c r="N41" s="189" t="s">
        <v>1373</v>
      </c>
      <c r="O41" s="810">
        <f t="shared" si="12"/>
        <v>40923</v>
      </c>
      <c r="P41" s="810">
        <v>40926</v>
      </c>
      <c r="Q41" s="811" t="s">
        <v>1549</v>
      </c>
      <c r="R41" s="304">
        <v>85</v>
      </c>
      <c r="S41" s="842">
        <v>19567</v>
      </c>
      <c r="T41" s="25">
        <f t="shared" si="13"/>
        <v>1663195</v>
      </c>
      <c r="U41" s="451"/>
      <c r="V41" s="810"/>
      <c r="W41" s="842"/>
      <c r="X41" s="842"/>
      <c r="Y41" s="25">
        <f t="shared" si="14"/>
        <v>0</v>
      </c>
    </row>
    <row r="42" spans="1:25">
      <c r="A42" s="847">
        <f t="shared" si="8"/>
        <v>37</v>
      </c>
      <c r="B42" s="297" t="s">
        <v>1498</v>
      </c>
      <c r="C42" s="25">
        <f t="shared" si="9"/>
        <v>293505</v>
      </c>
      <c r="D42" s="797">
        <f t="shared" si="17"/>
        <v>22003.889989638814</v>
      </c>
      <c r="E42" s="797">
        <f t="shared" si="17"/>
        <v>2462.6906367585843</v>
      </c>
      <c r="F42" s="797">
        <f t="shared" si="17"/>
        <v>13431.37076690964</v>
      </c>
      <c r="G42" s="797">
        <f t="shared" si="17"/>
        <v>9952.1931179902931</v>
      </c>
      <c r="H42" s="797">
        <f t="shared" si="17"/>
        <v>2490.4035409812227</v>
      </c>
      <c r="I42" s="25">
        <f t="shared" si="10"/>
        <v>343845.54805227852</v>
      </c>
      <c r="J42" s="797">
        <v>30</v>
      </c>
      <c r="K42" s="797">
        <f t="shared" si="11"/>
        <v>11461.518268409283</v>
      </c>
      <c r="L42" s="698"/>
      <c r="M42" s="698"/>
      <c r="N42" s="189" t="s">
        <v>1373</v>
      </c>
      <c r="O42" s="810">
        <f t="shared" si="12"/>
        <v>40923</v>
      </c>
      <c r="P42" s="810">
        <v>40926</v>
      </c>
      <c r="Q42" s="811" t="s">
        <v>1549</v>
      </c>
      <c r="R42" s="304">
        <v>15</v>
      </c>
      <c r="S42" s="842">
        <v>19567</v>
      </c>
      <c r="T42" s="25">
        <f t="shared" si="13"/>
        <v>293505</v>
      </c>
      <c r="U42" s="451"/>
      <c r="V42" s="810"/>
      <c r="W42" s="842"/>
      <c r="X42" s="842"/>
      <c r="Y42" s="25">
        <f t="shared" si="14"/>
        <v>0</v>
      </c>
    </row>
    <row r="43" spans="1:25">
      <c r="A43" s="847">
        <f t="shared" si="8"/>
        <v>38</v>
      </c>
      <c r="B43" s="297" t="s">
        <v>1509</v>
      </c>
      <c r="C43" s="25">
        <f t="shared" si="9"/>
        <v>4648990</v>
      </c>
      <c r="D43" s="797">
        <f t="shared" si="17"/>
        <v>256712.04987911947</v>
      </c>
      <c r="E43" s="797">
        <f t="shared" si="17"/>
        <v>28731.390762183481</v>
      </c>
      <c r="F43" s="797">
        <f t="shared" si="17"/>
        <v>156699.32561394581</v>
      </c>
      <c r="G43" s="797">
        <f t="shared" si="17"/>
        <v>116108.91970988674</v>
      </c>
      <c r="H43" s="797">
        <f t="shared" si="17"/>
        <v>29054.707978114264</v>
      </c>
      <c r="I43" s="25">
        <f t="shared" si="10"/>
        <v>5236296.3939432502</v>
      </c>
      <c r="J43" s="797">
        <v>350</v>
      </c>
      <c r="K43" s="797">
        <f t="shared" si="11"/>
        <v>14960.846839837857</v>
      </c>
      <c r="L43" s="698"/>
      <c r="M43" s="698"/>
      <c r="N43" s="189" t="s">
        <v>610</v>
      </c>
      <c r="O43" s="810">
        <f t="shared" si="12"/>
        <v>40923</v>
      </c>
      <c r="P43" s="810">
        <v>40926</v>
      </c>
      <c r="Q43" s="811" t="s">
        <v>1549</v>
      </c>
      <c r="R43" s="304">
        <v>230</v>
      </c>
      <c r="S43" s="842">
        <v>20213</v>
      </c>
      <c r="T43" s="25">
        <f t="shared" si="13"/>
        <v>4648990</v>
      </c>
      <c r="U43" s="451"/>
      <c r="V43" s="810"/>
      <c r="W43" s="842"/>
      <c r="X43" s="842"/>
      <c r="Y43" s="25">
        <f t="shared" si="14"/>
        <v>0</v>
      </c>
    </row>
    <row r="44" spans="1:25">
      <c r="A44" s="847">
        <f t="shared" si="8"/>
        <v>39</v>
      </c>
      <c r="B44" s="297" t="s">
        <v>1550</v>
      </c>
      <c r="C44" s="25">
        <f t="shared" si="9"/>
        <v>326920</v>
      </c>
      <c r="D44" s="797">
        <f t="shared" si="17"/>
        <v>14669.259993092543</v>
      </c>
      <c r="E44" s="797">
        <f t="shared" si="17"/>
        <v>1641.7937578390561</v>
      </c>
      <c r="F44" s="797">
        <f t="shared" si="17"/>
        <v>8954.2471779397601</v>
      </c>
      <c r="G44" s="797">
        <f t="shared" si="17"/>
        <v>6634.7954119935284</v>
      </c>
      <c r="H44" s="797">
        <f t="shared" si="17"/>
        <v>1660.269027320815</v>
      </c>
      <c r="I44" s="25">
        <f t="shared" si="10"/>
        <v>360480.36536818574</v>
      </c>
      <c r="J44" s="797">
        <v>20</v>
      </c>
      <c r="K44" s="797">
        <f t="shared" si="11"/>
        <v>18024.018268409287</v>
      </c>
      <c r="L44" s="698"/>
      <c r="M44" s="698"/>
      <c r="N44" s="189" t="s">
        <v>638</v>
      </c>
      <c r="O44" s="810">
        <f t="shared" si="12"/>
        <v>40923</v>
      </c>
      <c r="P44" s="810">
        <v>40926</v>
      </c>
      <c r="Q44" s="811" t="s">
        <v>1549</v>
      </c>
      <c r="R44" s="304">
        <v>20</v>
      </c>
      <c r="S44" s="842">
        <v>16346</v>
      </c>
      <c r="T44" s="25">
        <f t="shared" si="13"/>
        <v>326920</v>
      </c>
      <c r="U44" s="451"/>
      <c r="V44" s="810"/>
      <c r="W44" s="842"/>
      <c r="X44" s="842"/>
      <c r="Y44" s="25">
        <f t="shared" si="14"/>
        <v>0</v>
      </c>
    </row>
    <row r="45" spans="1:25">
      <c r="A45" s="847">
        <f t="shared" si="8"/>
        <v>40</v>
      </c>
      <c r="B45" s="297" t="s">
        <v>1516</v>
      </c>
      <c r="C45" s="25">
        <f t="shared" si="9"/>
        <v>4286800</v>
      </c>
      <c r="D45" s="797">
        <f t="shared" si="17"/>
        <v>220038.89989638812</v>
      </c>
      <c r="E45" s="797">
        <f t="shared" si="17"/>
        <v>24626.906367585842</v>
      </c>
      <c r="F45" s="797">
        <f t="shared" si="17"/>
        <v>134313.70766909642</v>
      </c>
      <c r="G45" s="797">
        <f t="shared" si="17"/>
        <v>99521.931179902924</v>
      </c>
      <c r="H45" s="797">
        <f t="shared" si="17"/>
        <v>24904.035409812226</v>
      </c>
      <c r="I45" s="25">
        <f t="shared" si="10"/>
        <v>4790205.4805227844</v>
      </c>
      <c r="J45" s="797">
        <v>300</v>
      </c>
      <c r="K45" s="797">
        <f t="shared" si="11"/>
        <v>15967.351601742615</v>
      </c>
      <c r="L45" s="698"/>
      <c r="M45" s="698"/>
      <c r="N45" s="192" t="s">
        <v>662</v>
      </c>
      <c r="O45" s="810">
        <f t="shared" si="12"/>
        <v>40923</v>
      </c>
      <c r="P45" s="810">
        <v>40926</v>
      </c>
      <c r="Q45" s="811" t="s">
        <v>1549</v>
      </c>
      <c r="R45" s="304">
        <v>200</v>
      </c>
      <c r="S45" s="842">
        <v>21434</v>
      </c>
      <c r="T45" s="25">
        <f t="shared" si="13"/>
        <v>4286800</v>
      </c>
      <c r="U45" s="451"/>
      <c r="V45" s="810"/>
      <c r="W45" s="842"/>
      <c r="X45" s="842"/>
      <c r="Y45" s="25">
        <f t="shared" si="14"/>
        <v>0</v>
      </c>
    </row>
    <row r="46" spans="1:25">
      <c r="A46" s="847">
        <f t="shared" si="8"/>
        <v>41</v>
      </c>
      <c r="B46" s="297" t="s">
        <v>1517</v>
      </c>
      <c r="C46" s="25">
        <f t="shared" si="9"/>
        <v>690983</v>
      </c>
      <c r="D46" s="797">
        <f t="shared" ref="D46:H55" si="18">IF($J$192&lt;&gt;0,D$192/$J$192*$J46,0)</f>
        <v>29338.519986185085</v>
      </c>
      <c r="E46" s="797">
        <f t="shared" si="18"/>
        <v>3283.5875156781121</v>
      </c>
      <c r="F46" s="797">
        <f t="shared" si="18"/>
        <v>17908.49435587952</v>
      </c>
      <c r="G46" s="797">
        <f t="shared" si="18"/>
        <v>13269.590823987057</v>
      </c>
      <c r="H46" s="797">
        <f t="shared" si="18"/>
        <v>3320.53805464163</v>
      </c>
      <c r="I46" s="25">
        <f t="shared" si="10"/>
        <v>758103.73073637148</v>
      </c>
      <c r="J46" s="797">
        <v>40</v>
      </c>
      <c r="K46" s="797">
        <f t="shared" si="11"/>
        <v>18952.593268409288</v>
      </c>
      <c r="L46" s="698"/>
      <c r="M46" s="698"/>
      <c r="N46" s="189" t="s">
        <v>609</v>
      </c>
      <c r="O46" s="810">
        <f t="shared" si="12"/>
        <v>40923</v>
      </c>
      <c r="P46" s="810">
        <v>40926</v>
      </c>
      <c r="Q46" s="811" t="s">
        <v>1549</v>
      </c>
      <c r="R46" s="304">
        <v>29</v>
      </c>
      <c r="S46" s="842">
        <v>23827</v>
      </c>
      <c r="T46" s="25">
        <f t="shared" si="13"/>
        <v>690983</v>
      </c>
      <c r="U46" s="451"/>
      <c r="V46" s="810"/>
      <c r="W46" s="842"/>
      <c r="X46" s="842"/>
      <c r="Y46" s="25">
        <f t="shared" si="14"/>
        <v>0</v>
      </c>
    </row>
    <row r="47" spans="1:25">
      <c r="A47" s="847">
        <f t="shared" ref="A47:A78" si="19">IF(B47&lt;&gt;"",A46+1,"")</f>
        <v>42</v>
      </c>
      <c r="B47" s="297" t="s">
        <v>1518</v>
      </c>
      <c r="C47" s="25">
        <f t="shared" ref="C47:C78" si="20">T47</f>
        <v>3511560</v>
      </c>
      <c r="D47" s="797">
        <f t="shared" si="18"/>
        <v>190700.37991020305</v>
      </c>
      <c r="E47" s="797">
        <f t="shared" si="18"/>
        <v>21343.31885190773</v>
      </c>
      <c r="F47" s="797">
        <f t="shared" si="18"/>
        <v>116405.21331321688</v>
      </c>
      <c r="G47" s="797">
        <f t="shared" si="18"/>
        <v>86252.340355915876</v>
      </c>
      <c r="H47" s="797">
        <f t="shared" si="18"/>
        <v>21583.497355170595</v>
      </c>
      <c r="I47" s="25">
        <f t="shared" ref="I47:I78" si="21">SUM(C47:H47)</f>
        <v>3947844.7497864142</v>
      </c>
      <c r="J47" s="797">
        <v>260</v>
      </c>
      <c r="K47" s="797">
        <f t="shared" ref="K47:K78" si="22">IF(J47&lt;&gt;"",I47/J47,"")</f>
        <v>15184.018268409285</v>
      </c>
      <c r="L47" s="698"/>
      <c r="M47" s="698"/>
      <c r="N47" s="192" t="s">
        <v>656</v>
      </c>
      <c r="O47" s="810">
        <f t="shared" ref="O47:O78" si="23">P47-3</f>
        <v>40923</v>
      </c>
      <c r="P47" s="810">
        <v>40926</v>
      </c>
      <c r="Q47" s="811" t="s">
        <v>1549</v>
      </c>
      <c r="R47" s="304">
        <v>195</v>
      </c>
      <c r="S47" s="842">
        <v>18008</v>
      </c>
      <c r="T47" s="25">
        <f t="shared" ref="T47:T78" si="24">ROUND(R47*S47,0)</f>
        <v>3511560</v>
      </c>
      <c r="U47" s="451"/>
      <c r="V47" s="810"/>
      <c r="W47" s="842"/>
      <c r="X47" s="842"/>
      <c r="Y47" s="25">
        <f t="shared" ref="Y47:Y78" si="25">W47*X47</f>
        <v>0</v>
      </c>
    </row>
    <row r="48" spans="1:25">
      <c r="A48" s="847">
        <f t="shared" si="19"/>
        <v>43</v>
      </c>
      <c r="B48" s="297" t="s">
        <v>1519</v>
      </c>
      <c r="C48" s="25">
        <f t="shared" si="20"/>
        <v>1076185</v>
      </c>
      <c r="D48" s="797">
        <f t="shared" si="18"/>
        <v>55009.724974097029</v>
      </c>
      <c r="E48" s="797">
        <f t="shared" si="18"/>
        <v>6156.7265918964604</v>
      </c>
      <c r="F48" s="797">
        <f t="shared" si="18"/>
        <v>33578.426917274104</v>
      </c>
      <c r="G48" s="797">
        <f t="shared" si="18"/>
        <v>24880.482794975731</v>
      </c>
      <c r="H48" s="797">
        <f t="shared" si="18"/>
        <v>6226.0088524530565</v>
      </c>
      <c r="I48" s="25">
        <f t="shared" si="21"/>
        <v>1202036.3701306961</v>
      </c>
      <c r="J48" s="797">
        <v>75</v>
      </c>
      <c r="K48" s="797">
        <f t="shared" si="22"/>
        <v>16027.151601742615</v>
      </c>
      <c r="L48" s="698"/>
      <c r="M48" s="698"/>
      <c r="N48" s="189" t="s">
        <v>1373</v>
      </c>
      <c r="O48" s="810">
        <f t="shared" si="23"/>
        <v>40923</v>
      </c>
      <c r="P48" s="810">
        <v>40926</v>
      </c>
      <c r="Q48" s="811" t="s">
        <v>1549</v>
      </c>
      <c r="R48" s="304">
        <v>55</v>
      </c>
      <c r="S48" s="842">
        <v>19567</v>
      </c>
      <c r="T48" s="25">
        <f t="shared" si="24"/>
        <v>1076185</v>
      </c>
      <c r="U48" s="451"/>
      <c r="V48" s="810"/>
      <c r="W48" s="842"/>
      <c r="X48" s="842"/>
      <c r="Y48" s="25">
        <f t="shared" si="25"/>
        <v>0</v>
      </c>
    </row>
    <row r="49" spans="1:25">
      <c r="A49" s="847">
        <f t="shared" si="19"/>
        <v>44</v>
      </c>
      <c r="B49" s="297" t="s">
        <v>1496</v>
      </c>
      <c r="C49" s="25">
        <f t="shared" si="20"/>
        <v>1840650</v>
      </c>
      <c r="D49" s="797">
        <f t="shared" si="18"/>
        <v>154027.22992747169</v>
      </c>
      <c r="E49" s="797">
        <f t="shared" si="18"/>
        <v>17238.834457310088</v>
      </c>
      <c r="F49" s="797">
        <f t="shared" si="18"/>
        <v>94019.595368367474</v>
      </c>
      <c r="G49" s="797">
        <f t="shared" si="18"/>
        <v>69665.351825932055</v>
      </c>
      <c r="H49" s="797">
        <f t="shared" si="18"/>
        <v>17432.824786868558</v>
      </c>
      <c r="I49" s="25">
        <f t="shared" si="21"/>
        <v>2193033.8363659498</v>
      </c>
      <c r="J49" s="797">
        <v>210</v>
      </c>
      <c r="K49" s="797">
        <f t="shared" si="22"/>
        <v>10443.018268409285</v>
      </c>
      <c r="L49" s="698"/>
      <c r="M49" s="698"/>
      <c r="N49" s="189" t="s">
        <v>651</v>
      </c>
      <c r="O49" s="810">
        <f t="shared" si="23"/>
        <v>40935</v>
      </c>
      <c r="P49" s="810">
        <v>40938</v>
      </c>
      <c r="Q49" s="811" t="s">
        <v>1551</v>
      </c>
      <c r="R49" s="304">
        <v>105</v>
      </c>
      <c r="S49" s="842">
        <v>17530</v>
      </c>
      <c r="T49" s="25">
        <f t="shared" si="24"/>
        <v>1840650</v>
      </c>
      <c r="U49" s="451"/>
      <c r="V49" s="810"/>
      <c r="W49" s="842"/>
      <c r="X49" s="842"/>
      <c r="Y49" s="25">
        <f t="shared" si="25"/>
        <v>0</v>
      </c>
    </row>
    <row r="50" spans="1:25">
      <c r="A50" s="847">
        <f t="shared" si="19"/>
        <v>45</v>
      </c>
      <c r="B50" s="297" t="s">
        <v>1555</v>
      </c>
      <c r="C50" s="25">
        <f t="shared" si="20"/>
        <v>534880</v>
      </c>
      <c r="D50" s="797">
        <f t="shared" si="18"/>
        <v>58677.03997237017</v>
      </c>
      <c r="E50" s="797">
        <f t="shared" si="18"/>
        <v>6567.1750313562243</v>
      </c>
      <c r="F50" s="797">
        <f t="shared" si="18"/>
        <v>35816.988711759041</v>
      </c>
      <c r="G50" s="797">
        <f t="shared" si="18"/>
        <v>26539.181647974114</v>
      </c>
      <c r="H50" s="797">
        <f t="shared" si="18"/>
        <v>6641.0761092832599</v>
      </c>
      <c r="I50" s="25">
        <f t="shared" si="21"/>
        <v>669121.46147274284</v>
      </c>
      <c r="J50" s="797">
        <v>80</v>
      </c>
      <c r="K50" s="797">
        <f t="shared" si="22"/>
        <v>8364.0182684092852</v>
      </c>
      <c r="L50" s="698"/>
      <c r="M50" s="698"/>
      <c r="N50" s="189" t="s">
        <v>618</v>
      </c>
      <c r="O50" s="810">
        <f t="shared" si="23"/>
        <v>40935</v>
      </c>
      <c r="P50" s="810">
        <v>40938</v>
      </c>
      <c r="Q50" s="811" t="s">
        <v>1551</v>
      </c>
      <c r="R50" s="304">
        <v>40</v>
      </c>
      <c r="S50" s="842">
        <v>13372</v>
      </c>
      <c r="T50" s="25">
        <f t="shared" si="24"/>
        <v>534880</v>
      </c>
      <c r="U50" s="451"/>
      <c r="V50" s="810"/>
      <c r="W50" s="842"/>
      <c r="X50" s="842"/>
      <c r="Y50" s="25">
        <f t="shared" si="25"/>
        <v>0</v>
      </c>
    </row>
    <row r="51" spans="1:25">
      <c r="A51" s="847">
        <f t="shared" si="19"/>
        <v>46</v>
      </c>
      <c r="B51" s="297" t="s">
        <v>1526</v>
      </c>
      <c r="C51" s="25">
        <f t="shared" si="20"/>
        <v>2564550</v>
      </c>
      <c r="D51" s="797">
        <f t="shared" si="18"/>
        <v>154027.22992747169</v>
      </c>
      <c r="E51" s="797">
        <f t="shared" si="18"/>
        <v>17238.834457310088</v>
      </c>
      <c r="F51" s="797">
        <f t="shared" si="18"/>
        <v>94019.595368367474</v>
      </c>
      <c r="G51" s="797">
        <f t="shared" si="18"/>
        <v>69665.351825932055</v>
      </c>
      <c r="H51" s="797">
        <f t="shared" si="18"/>
        <v>17432.824786868558</v>
      </c>
      <c r="I51" s="25">
        <f t="shared" si="21"/>
        <v>2916933.8363659498</v>
      </c>
      <c r="J51" s="797">
        <v>210</v>
      </c>
      <c r="K51" s="797">
        <f t="shared" si="22"/>
        <v>13890.161125552142</v>
      </c>
      <c r="L51" s="698"/>
      <c r="M51" s="698"/>
      <c r="N51" s="297" t="s">
        <v>1242</v>
      </c>
      <c r="O51" s="810">
        <f t="shared" si="23"/>
        <v>40935</v>
      </c>
      <c r="P51" s="810">
        <v>40938</v>
      </c>
      <c r="Q51" s="811" t="s">
        <v>1551</v>
      </c>
      <c r="R51" s="304">
        <v>150</v>
      </c>
      <c r="S51" s="842">
        <v>17097</v>
      </c>
      <c r="T51" s="25">
        <f t="shared" si="24"/>
        <v>2564550</v>
      </c>
      <c r="U51" s="451"/>
      <c r="V51" s="810"/>
      <c r="W51" s="842"/>
      <c r="X51" s="842"/>
      <c r="Y51" s="25">
        <f t="shared" si="25"/>
        <v>0</v>
      </c>
    </row>
    <row r="52" spans="1:25">
      <c r="A52" s="847">
        <f t="shared" si="19"/>
        <v>47</v>
      </c>
      <c r="B52" s="297" t="s">
        <v>1522</v>
      </c>
      <c r="C52" s="25">
        <f t="shared" si="20"/>
        <v>3759600</v>
      </c>
      <c r="D52" s="797">
        <f t="shared" si="18"/>
        <v>168696.48992056423</v>
      </c>
      <c r="E52" s="797">
        <f t="shared" si="18"/>
        <v>18880.628215149147</v>
      </c>
      <c r="F52" s="797">
        <f t="shared" si="18"/>
        <v>102973.84254630725</v>
      </c>
      <c r="G52" s="797">
        <f t="shared" si="18"/>
        <v>76300.147237925587</v>
      </c>
      <c r="H52" s="797">
        <f t="shared" si="18"/>
        <v>19093.093814189375</v>
      </c>
      <c r="I52" s="25">
        <f t="shared" si="21"/>
        <v>4145544.2017341359</v>
      </c>
      <c r="J52" s="797">
        <v>230</v>
      </c>
      <c r="K52" s="797">
        <f t="shared" si="22"/>
        <v>18024.105224931027</v>
      </c>
      <c r="L52" s="698"/>
      <c r="M52" s="698"/>
      <c r="N52" s="189" t="s">
        <v>637</v>
      </c>
      <c r="O52" s="810">
        <f t="shared" si="23"/>
        <v>40935</v>
      </c>
      <c r="P52" s="810">
        <v>40938</v>
      </c>
      <c r="Q52" s="811" t="s">
        <v>1551</v>
      </c>
      <c r="R52" s="304">
        <v>240</v>
      </c>
      <c r="S52" s="842">
        <v>15665</v>
      </c>
      <c r="T52" s="25">
        <f t="shared" si="24"/>
        <v>3759600</v>
      </c>
      <c r="U52" s="451"/>
      <c r="V52" s="810"/>
      <c r="W52" s="842"/>
      <c r="X52" s="842"/>
      <c r="Y52" s="25">
        <f t="shared" si="25"/>
        <v>0</v>
      </c>
    </row>
    <row r="53" spans="1:25">
      <c r="A53" s="847">
        <f t="shared" si="19"/>
        <v>48</v>
      </c>
      <c r="B53" s="297" t="s">
        <v>1516</v>
      </c>
      <c r="C53" s="25">
        <f t="shared" si="20"/>
        <v>5011212</v>
      </c>
      <c r="D53" s="797">
        <f t="shared" si="18"/>
        <v>227373.5298929344</v>
      </c>
      <c r="E53" s="797">
        <f t="shared" si="18"/>
        <v>25447.803246505369</v>
      </c>
      <c r="F53" s="797">
        <f t="shared" si="18"/>
        <v>138790.83125806629</v>
      </c>
      <c r="G53" s="797">
        <f t="shared" si="18"/>
        <v>102839.3288858997</v>
      </c>
      <c r="H53" s="797">
        <f t="shared" si="18"/>
        <v>25734.169923472633</v>
      </c>
      <c r="I53" s="25">
        <f t="shared" si="21"/>
        <v>5531397.6632068781</v>
      </c>
      <c r="J53" s="797">
        <v>310</v>
      </c>
      <c r="K53" s="797">
        <f t="shared" si="22"/>
        <v>17843.218268409284</v>
      </c>
      <c r="L53" s="698"/>
      <c r="M53" s="698"/>
      <c r="N53" s="297" t="s">
        <v>1369</v>
      </c>
      <c r="O53" s="810">
        <f t="shared" si="23"/>
        <v>40935</v>
      </c>
      <c r="P53" s="810">
        <v>40938</v>
      </c>
      <c r="Q53" s="811" t="s">
        <v>1551</v>
      </c>
      <c r="R53" s="304">
        <v>372</v>
      </c>
      <c r="S53" s="842">
        <v>13471</v>
      </c>
      <c r="T53" s="25">
        <f t="shared" si="24"/>
        <v>5011212</v>
      </c>
      <c r="U53" s="451"/>
      <c r="V53" s="810"/>
      <c r="W53" s="842"/>
      <c r="X53" s="842"/>
      <c r="Y53" s="25">
        <f t="shared" si="25"/>
        <v>0</v>
      </c>
    </row>
    <row r="54" spans="1:25">
      <c r="A54" s="847">
        <f t="shared" si="19"/>
        <v>49</v>
      </c>
      <c r="B54" s="297" t="s">
        <v>1524</v>
      </c>
      <c r="C54" s="25">
        <f t="shared" si="20"/>
        <v>6180000</v>
      </c>
      <c r="D54" s="797">
        <f t="shared" si="18"/>
        <v>271381.309872212</v>
      </c>
      <c r="E54" s="797">
        <f t="shared" si="18"/>
        <v>30373.18452002254</v>
      </c>
      <c r="F54" s="797">
        <f t="shared" si="18"/>
        <v>165653.57279188556</v>
      </c>
      <c r="G54" s="797">
        <f t="shared" si="18"/>
        <v>122743.71512188028</v>
      </c>
      <c r="H54" s="797">
        <f t="shared" si="18"/>
        <v>30714.977005435081</v>
      </c>
      <c r="I54" s="25">
        <f t="shared" si="21"/>
        <v>6800866.7593114357</v>
      </c>
      <c r="J54" s="797">
        <v>370</v>
      </c>
      <c r="K54" s="797">
        <f t="shared" si="22"/>
        <v>18380.720971111987</v>
      </c>
      <c r="L54" s="698"/>
      <c r="M54" s="698"/>
      <c r="N54" s="192" t="s">
        <v>672</v>
      </c>
      <c r="O54" s="810">
        <f t="shared" si="23"/>
        <v>40935</v>
      </c>
      <c r="P54" s="810">
        <v>40938</v>
      </c>
      <c r="Q54" s="811" t="s">
        <v>1551</v>
      </c>
      <c r="R54" s="304">
        <v>250</v>
      </c>
      <c r="S54" s="842">
        <v>24720</v>
      </c>
      <c r="T54" s="25">
        <f t="shared" si="24"/>
        <v>6180000</v>
      </c>
      <c r="U54" s="451"/>
      <c r="V54" s="810"/>
      <c r="W54" s="842"/>
      <c r="X54" s="842"/>
      <c r="Y54" s="25">
        <f t="shared" si="25"/>
        <v>0</v>
      </c>
    </row>
    <row r="55" spans="1:25">
      <c r="A55" s="847">
        <f t="shared" si="19"/>
        <v>50</v>
      </c>
      <c r="B55" s="297" t="s">
        <v>1498</v>
      </c>
      <c r="C55" s="25">
        <f t="shared" si="20"/>
        <v>1150800</v>
      </c>
      <c r="D55" s="797">
        <f t="shared" si="18"/>
        <v>126889.09894025048</v>
      </c>
      <c r="E55" s="797">
        <f t="shared" si="18"/>
        <v>14201.516005307836</v>
      </c>
      <c r="F55" s="797">
        <f t="shared" si="18"/>
        <v>77454.238089178922</v>
      </c>
      <c r="G55" s="797">
        <f t="shared" si="18"/>
        <v>57390.980313744025</v>
      </c>
      <c r="H55" s="797">
        <f t="shared" si="18"/>
        <v>14361.327086325051</v>
      </c>
      <c r="I55" s="25">
        <f t="shared" si="21"/>
        <v>1441097.1604348063</v>
      </c>
      <c r="J55" s="797">
        <v>173</v>
      </c>
      <c r="K55" s="797">
        <f t="shared" si="22"/>
        <v>8330.0413897965682</v>
      </c>
      <c r="L55" s="698"/>
      <c r="M55" s="698"/>
      <c r="N55" s="189" t="s">
        <v>1376</v>
      </c>
      <c r="O55" s="810">
        <f t="shared" si="23"/>
        <v>40935</v>
      </c>
      <c r="P55" s="810">
        <v>40938</v>
      </c>
      <c r="Q55" s="811" t="s">
        <v>1551</v>
      </c>
      <c r="R55" s="304">
        <v>100</v>
      </c>
      <c r="S55" s="842">
        <v>11508</v>
      </c>
      <c r="T55" s="25">
        <f t="shared" si="24"/>
        <v>1150800</v>
      </c>
      <c r="U55" s="451"/>
      <c r="V55" s="810"/>
      <c r="W55" s="842"/>
      <c r="X55" s="842"/>
      <c r="Y55" s="25">
        <f t="shared" si="25"/>
        <v>0</v>
      </c>
    </row>
    <row r="56" spans="1:25">
      <c r="A56" s="847">
        <f t="shared" si="19"/>
        <v>51</v>
      </c>
      <c r="B56" s="297" t="s">
        <v>1509</v>
      </c>
      <c r="C56" s="25">
        <f t="shared" si="20"/>
        <v>1202200</v>
      </c>
      <c r="D56" s="797">
        <f t="shared" ref="D56:H65" si="26">IF($J$192&lt;&gt;0,D$192/$J$192*$J56,0)</f>
        <v>110019.44994819406</v>
      </c>
      <c r="E56" s="797">
        <f t="shared" si="26"/>
        <v>12313.453183792921</v>
      </c>
      <c r="F56" s="797">
        <f t="shared" si="26"/>
        <v>67156.853834548208</v>
      </c>
      <c r="G56" s="797">
        <f t="shared" si="26"/>
        <v>49760.965589951462</v>
      </c>
      <c r="H56" s="797">
        <f t="shared" si="26"/>
        <v>12452.017704906113</v>
      </c>
      <c r="I56" s="25">
        <f t="shared" si="21"/>
        <v>1453902.7402613929</v>
      </c>
      <c r="J56" s="797">
        <v>150</v>
      </c>
      <c r="K56" s="797">
        <f t="shared" si="22"/>
        <v>9692.684935075953</v>
      </c>
      <c r="L56" s="698"/>
      <c r="M56" s="698"/>
      <c r="N56" s="189" t="s">
        <v>1375</v>
      </c>
      <c r="O56" s="810">
        <f t="shared" si="23"/>
        <v>40935</v>
      </c>
      <c r="P56" s="810">
        <v>40938</v>
      </c>
      <c r="Q56" s="811" t="s">
        <v>1551</v>
      </c>
      <c r="R56" s="304">
        <v>100</v>
      </c>
      <c r="S56" s="842">
        <v>12022</v>
      </c>
      <c r="T56" s="25">
        <f t="shared" si="24"/>
        <v>1202200</v>
      </c>
      <c r="U56" s="451"/>
      <c r="V56" s="810"/>
      <c r="W56" s="842"/>
      <c r="X56" s="842"/>
      <c r="Y56" s="25">
        <f t="shared" si="25"/>
        <v>0</v>
      </c>
    </row>
    <row r="57" spans="1:25">
      <c r="A57" s="847">
        <f t="shared" si="19"/>
        <v>52</v>
      </c>
      <c r="B57" s="297" t="s">
        <v>1519</v>
      </c>
      <c r="C57" s="25">
        <f t="shared" si="20"/>
        <v>2763000</v>
      </c>
      <c r="D57" s="797">
        <f t="shared" si="26"/>
        <v>154027.22992747169</v>
      </c>
      <c r="E57" s="797">
        <f t="shared" si="26"/>
        <v>17238.834457310088</v>
      </c>
      <c r="F57" s="797">
        <f t="shared" si="26"/>
        <v>94019.595368367474</v>
      </c>
      <c r="G57" s="797">
        <f t="shared" si="26"/>
        <v>69665.351825932055</v>
      </c>
      <c r="H57" s="797">
        <f t="shared" si="26"/>
        <v>17432.824786868558</v>
      </c>
      <c r="I57" s="25">
        <f t="shared" si="21"/>
        <v>3115383.8363659498</v>
      </c>
      <c r="J57" s="797">
        <v>210</v>
      </c>
      <c r="K57" s="797">
        <f t="shared" si="22"/>
        <v>14835.161125552142</v>
      </c>
      <c r="L57" s="698"/>
      <c r="M57" s="698"/>
      <c r="N57" s="189" t="s">
        <v>1258</v>
      </c>
      <c r="O57" s="810">
        <f t="shared" si="23"/>
        <v>40935</v>
      </c>
      <c r="P57" s="810">
        <v>40938</v>
      </c>
      <c r="Q57" s="811" t="s">
        <v>1551</v>
      </c>
      <c r="R57" s="304">
        <v>100</v>
      </c>
      <c r="S57" s="842">
        <v>27630</v>
      </c>
      <c r="T57" s="25">
        <f t="shared" si="24"/>
        <v>2763000</v>
      </c>
      <c r="U57" s="451"/>
      <c r="V57" s="810"/>
      <c r="W57" s="842"/>
      <c r="X57" s="842"/>
      <c r="Y57" s="25">
        <f t="shared" si="25"/>
        <v>0</v>
      </c>
    </row>
    <row r="58" spans="1:25">
      <c r="A58" s="847">
        <f t="shared" si="19"/>
        <v>53</v>
      </c>
      <c r="B58" s="297" t="s">
        <v>1516</v>
      </c>
      <c r="C58" s="25">
        <f t="shared" si="20"/>
        <v>3643780</v>
      </c>
      <c r="D58" s="797">
        <f t="shared" si="26"/>
        <v>183365.74991365676</v>
      </c>
      <c r="E58" s="797">
        <f t="shared" si="26"/>
        <v>20522.421972988202</v>
      </c>
      <c r="F58" s="797">
        <f t="shared" si="26"/>
        <v>111928.08972424699</v>
      </c>
      <c r="G58" s="797">
        <f t="shared" si="26"/>
        <v>82934.942649919103</v>
      </c>
      <c r="H58" s="797">
        <f t="shared" si="26"/>
        <v>20753.362841510188</v>
      </c>
      <c r="I58" s="25">
        <f t="shared" si="21"/>
        <v>4063284.567102321</v>
      </c>
      <c r="J58" s="797">
        <v>250</v>
      </c>
      <c r="K58" s="797">
        <f t="shared" si="22"/>
        <v>16253.138268409284</v>
      </c>
      <c r="L58" s="698"/>
      <c r="M58" s="698"/>
      <c r="N58" s="192" t="s">
        <v>662</v>
      </c>
      <c r="O58" s="810">
        <f t="shared" si="23"/>
        <v>40935</v>
      </c>
      <c r="P58" s="810">
        <v>40938</v>
      </c>
      <c r="Q58" s="811" t="s">
        <v>1551</v>
      </c>
      <c r="R58" s="304">
        <v>170</v>
      </c>
      <c r="S58" s="842">
        <v>21434</v>
      </c>
      <c r="T58" s="25">
        <f t="shared" si="24"/>
        <v>3643780</v>
      </c>
      <c r="U58" s="451"/>
      <c r="V58" s="810"/>
      <c r="W58" s="842"/>
      <c r="X58" s="842"/>
      <c r="Y58" s="25">
        <f t="shared" si="25"/>
        <v>0</v>
      </c>
    </row>
    <row r="59" spans="1:25">
      <c r="A59" s="847">
        <f t="shared" si="19"/>
        <v>54</v>
      </c>
      <c r="B59" s="297" t="s">
        <v>1498</v>
      </c>
      <c r="C59" s="25">
        <f t="shared" si="20"/>
        <v>1369690</v>
      </c>
      <c r="D59" s="797">
        <f t="shared" si="26"/>
        <v>95350.189955101523</v>
      </c>
      <c r="E59" s="797">
        <f t="shared" si="26"/>
        <v>10671.659425953865</v>
      </c>
      <c r="F59" s="797">
        <f t="shared" si="26"/>
        <v>58202.606656608441</v>
      </c>
      <c r="G59" s="797">
        <f t="shared" si="26"/>
        <v>43126.170177957938</v>
      </c>
      <c r="H59" s="797">
        <f t="shared" si="26"/>
        <v>10791.748677585298</v>
      </c>
      <c r="I59" s="25">
        <f t="shared" si="21"/>
        <v>1587832.3748932071</v>
      </c>
      <c r="J59" s="797">
        <v>130</v>
      </c>
      <c r="K59" s="797">
        <f t="shared" si="22"/>
        <v>12214.095191486209</v>
      </c>
      <c r="L59" s="698"/>
      <c r="M59" s="698"/>
      <c r="N59" s="189" t="s">
        <v>1373</v>
      </c>
      <c r="O59" s="810">
        <f t="shared" si="23"/>
        <v>40936</v>
      </c>
      <c r="P59" s="810">
        <v>40939</v>
      </c>
      <c r="Q59" s="811" t="s">
        <v>1552</v>
      </c>
      <c r="R59" s="304">
        <v>70</v>
      </c>
      <c r="S59" s="842">
        <v>19567</v>
      </c>
      <c r="T59" s="25">
        <f t="shared" si="24"/>
        <v>1369690</v>
      </c>
      <c r="U59" s="451"/>
      <c r="V59" s="810"/>
      <c r="W59" s="842"/>
      <c r="X59" s="842"/>
      <c r="Y59" s="25">
        <f t="shared" si="25"/>
        <v>0</v>
      </c>
    </row>
    <row r="60" spans="1:25">
      <c r="A60" s="847">
        <f t="shared" si="19"/>
        <v>55</v>
      </c>
      <c r="B60" s="297" t="s">
        <v>1556</v>
      </c>
      <c r="C60" s="25">
        <f t="shared" si="20"/>
        <v>162896</v>
      </c>
      <c r="D60" s="797">
        <f t="shared" si="26"/>
        <v>8801.5559958555241</v>
      </c>
      <c r="E60" s="797">
        <f t="shared" si="26"/>
        <v>985.07625470343373</v>
      </c>
      <c r="F60" s="797">
        <f t="shared" si="26"/>
        <v>5372.5483067638561</v>
      </c>
      <c r="G60" s="797">
        <f t="shared" si="26"/>
        <v>3980.8772471961174</v>
      </c>
      <c r="H60" s="797">
        <f t="shared" si="26"/>
        <v>996.16141639248906</v>
      </c>
      <c r="I60" s="25">
        <f t="shared" si="21"/>
        <v>183032.21922091141</v>
      </c>
      <c r="J60" s="797">
        <v>12</v>
      </c>
      <c r="K60" s="797">
        <f t="shared" si="22"/>
        <v>15252.684935075951</v>
      </c>
      <c r="L60" s="698"/>
      <c r="M60" s="698"/>
      <c r="N60" s="189" t="s">
        <v>1371</v>
      </c>
      <c r="O60" s="810">
        <f t="shared" si="23"/>
        <v>40936</v>
      </c>
      <c r="P60" s="810">
        <v>40939</v>
      </c>
      <c r="Q60" s="811" t="s">
        <v>1552</v>
      </c>
      <c r="R60" s="304">
        <v>8</v>
      </c>
      <c r="S60" s="842">
        <v>20362</v>
      </c>
      <c r="T60" s="25">
        <f t="shared" si="24"/>
        <v>162896</v>
      </c>
      <c r="U60" s="451"/>
      <c r="V60" s="810"/>
      <c r="W60" s="842"/>
      <c r="X60" s="842"/>
      <c r="Y60" s="25">
        <f t="shared" si="25"/>
        <v>0</v>
      </c>
    </row>
    <row r="61" spans="1:25">
      <c r="A61" s="847">
        <f t="shared" si="19"/>
        <v>56</v>
      </c>
      <c r="B61" s="297" t="s">
        <v>1550</v>
      </c>
      <c r="C61" s="25">
        <f t="shared" si="20"/>
        <v>2072694</v>
      </c>
      <c r="D61" s="797">
        <f t="shared" si="26"/>
        <v>102684.81995164779</v>
      </c>
      <c r="E61" s="797">
        <f t="shared" si="26"/>
        <v>11492.556304873393</v>
      </c>
      <c r="F61" s="797">
        <f t="shared" si="26"/>
        <v>62679.730245578321</v>
      </c>
      <c r="G61" s="797">
        <f t="shared" si="26"/>
        <v>46443.567883954704</v>
      </c>
      <c r="H61" s="797">
        <f t="shared" si="26"/>
        <v>11621.883191245706</v>
      </c>
      <c r="I61" s="25">
        <f t="shared" si="21"/>
        <v>2307616.5575772999</v>
      </c>
      <c r="J61" s="797">
        <v>140</v>
      </c>
      <c r="K61" s="797">
        <f t="shared" si="22"/>
        <v>16482.975411266427</v>
      </c>
      <c r="L61" s="698"/>
      <c r="M61" s="698"/>
      <c r="N61" s="192" t="s">
        <v>659</v>
      </c>
      <c r="O61" s="810">
        <f t="shared" si="23"/>
        <v>40936</v>
      </c>
      <c r="P61" s="810">
        <v>40939</v>
      </c>
      <c r="Q61" s="811" t="s">
        <v>1552</v>
      </c>
      <c r="R61" s="304">
        <v>78</v>
      </c>
      <c r="S61" s="842">
        <v>26573</v>
      </c>
      <c r="T61" s="25">
        <f t="shared" si="24"/>
        <v>2072694</v>
      </c>
      <c r="U61" s="451"/>
      <c r="V61" s="810"/>
      <c r="W61" s="842"/>
      <c r="X61" s="842"/>
      <c r="Y61" s="25">
        <f t="shared" si="25"/>
        <v>0</v>
      </c>
    </row>
    <row r="62" spans="1:25">
      <c r="A62" s="847">
        <f t="shared" si="19"/>
        <v>57</v>
      </c>
      <c r="B62" s="297" t="s">
        <v>1516</v>
      </c>
      <c r="C62" s="25">
        <f t="shared" si="20"/>
        <v>3215100</v>
      </c>
      <c r="D62" s="797">
        <f t="shared" si="26"/>
        <v>132023.33993783288</v>
      </c>
      <c r="E62" s="797">
        <f t="shared" si="26"/>
        <v>14776.143820551506</v>
      </c>
      <c r="F62" s="797">
        <f t="shared" si="26"/>
        <v>80588.224601457841</v>
      </c>
      <c r="G62" s="797">
        <f t="shared" si="26"/>
        <v>59713.158707941759</v>
      </c>
      <c r="H62" s="797">
        <f t="shared" si="26"/>
        <v>14942.421245887335</v>
      </c>
      <c r="I62" s="25">
        <f t="shared" si="21"/>
        <v>3517143.2883136715</v>
      </c>
      <c r="J62" s="797">
        <v>180</v>
      </c>
      <c r="K62" s="797">
        <f t="shared" si="22"/>
        <v>19539.684935075951</v>
      </c>
      <c r="L62" s="698"/>
      <c r="M62" s="698"/>
      <c r="N62" s="192" t="s">
        <v>662</v>
      </c>
      <c r="O62" s="810">
        <f t="shared" si="23"/>
        <v>40936</v>
      </c>
      <c r="P62" s="810">
        <v>40939</v>
      </c>
      <c r="Q62" s="811" t="s">
        <v>1552</v>
      </c>
      <c r="R62" s="304">
        <v>150</v>
      </c>
      <c r="S62" s="842">
        <v>21434</v>
      </c>
      <c r="T62" s="25">
        <f t="shared" si="24"/>
        <v>3215100</v>
      </c>
      <c r="U62" s="451"/>
      <c r="V62" s="810"/>
      <c r="W62" s="842"/>
      <c r="X62" s="842"/>
      <c r="Y62" s="25">
        <f t="shared" si="25"/>
        <v>0</v>
      </c>
    </row>
    <row r="63" spans="1:25">
      <c r="A63" s="847">
        <f t="shared" si="19"/>
        <v>58</v>
      </c>
      <c r="B63" s="297" t="s">
        <v>1517</v>
      </c>
      <c r="C63" s="25">
        <f t="shared" si="20"/>
        <v>5160400</v>
      </c>
      <c r="D63" s="797">
        <f t="shared" si="26"/>
        <v>227373.5298929344</v>
      </c>
      <c r="E63" s="797">
        <f t="shared" si="26"/>
        <v>25447.803246505369</v>
      </c>
      <c r="F63" s="797">
        <f t="shared" si="26"/>
        <v>138790.83125806629</v>
      </c>
      <c r="G63" s="797">
        <f t="shared" si="26"/>
        <v>102839.3288858997</v>
      </c>
      <c r="H63" s="797">
        <f t="shared" si="26"/>
        <v>25734.169923472633</v>
      </c>
      <c r="I63" s="25">
        <f t="shared" si="21"/>
        <v>5680585.6632068781</v>
      </c>
      <c r="J63" s="797">
        <v>310</v>
      </c>
      <c r="K63" s="797">
        <f t="shared" si="22"/>
        <v>18324.469881312511</v>
      </c>
      <c r="L63" s="698"/>
      <c r="M63" s="698"/>
      <c r="N63" s="189" t="s">
        <v>1254</v>
      </c>
      <c r="O63" s="810">
        <f t="shared" si="23"/>
        <v>40936</v>
      </c>
      <c r="P63" s="810">
        <v>40939</v>
      </c>
      <c r="Q63" s="811" t="s">
        <v>1552</v>
      </c>
      <c r="R63" s="304">
        <v>200</v>
      </c>
      <c r="S63" s="842">
        <v>25802</v>
      </c>
      <c r="T63" s="25">
        <f t="shared" si="24"/>
        <v>5160400</v>
      </c>
      <c r="U63" s="451"/>
      <c r="V63" s="810"/>
      <c r="W63" s="842"/>
      <c r="X63" s="842"/>
      <c r="Y63" s="25">
        <f t="shared" si="25"/>
        <v>0</v>
      </c>
    </row>
    <row r="64" spans="1:25">
      <c r="A64" s="847">
        <f t="shared" si="19"/>
        <v>59</v>
      </c>
      <c r="B64" s="297" t="s">
        <v>1526</v>
      </c>
      <c r="C64" s="25">
        <f t="shared" si="20"/>
        <v>1337000</v>
      </c>
      <c r="D64" s="797">
        <f t="shared" si="26"/>
        <v>117354.07994474034</v>
      </c>
      <c r="E64" s="797">
        <f t="shared" si="26"/>
        <v>13134.350062712449</v>
      </c>
      <c r="F64" s="797">
        <f t="shared" si="26"/>
        <v>71633.977423518081</v>
      </c>
      <c r="G64" s="797">
        <f t="shared" si="26"/>
        <v>53078.363295948227</v>
      </c>
      <c r="H64" s="797">
        <f t="shared" si="26"/>
        <v>13282.15221856652</v>
      </c>
      <c r="I64" s="25">
        <f t="shared" si="21"/>
        <v>1605482.9229454857</v>
      </c>
      <c r="J64" s="797">
        <v>160</v>
      </c>
      <c r="K64" s="797">
        <f t="shared" si="22"/>
        <v>10034.268268409285</v>
      </c>
      <c r="L64" s="698"/>
      <c r="M64" s="698"/>
      <c r="N64" s="192" t="s">
        <v>675</v>
      </c>
      <c r="O64" s="810">
        <f t="shared" si="23"/>
        <v>40936</v>
      </c>
      <c r="P64" s="810">
        <v>40939</v>
      </c>
      <c r="Q64" s="811" t="s">
        <v>1552</v>
      </c>
      <c r="R64" s="304">
        <v>100</v>
      </c>
      <c r="S64" s="842">
        <v>13370</v>
      </c>
      <c r="T64" s="25">
        <f t="shared" si="24"/>
        <v>1337000</v>
      </c>
      <c r="U64" s="451"/>
      <c r="V64" s="810"/>
      <c r="W64" s="842"/>
      <c r="X64" s="842"/>
      <c r="Y64" s="25">
        <f t="shared" si="25"/>
        <v>0</v>
      </c>
    </row>
    <row r="65" spans="1:25">
      <c r="A65" s="847">
        <f t="shared" si="19"/>
        <v>60</v>
      </c>
      <c r="B65" s="297" t="s">
        <v>1522</v>
      </c>
      <c r="C65" s="25">
        <f t="shared" si="20"/>
        <v>4064190</v>
      </c>
      <c r="D65" s="797">
        <f t="shared" si="26"/>
        <v>198035.0099067493</v>
      </c>
      <c r="E65" s="797">
        <f t="shared" si="26"/>
        <v>22164.215730827258</v>
      </c>
      <c r="F65" s="797">
        <f t="shared" si="26"/>
        <v>120882.33690218677</v>
      </c>
      <c r="G65" s="797">
        <f t="shared" si="26"/>
        <v>89569.738061912634</v>
      </c>
      <c r="H65" s="797">
        <f t="shared" si="26"/>
        <v>22413.631868831002</v>
      </c>
      <c r="I65" s="25">
        <f t="shared" si="21"/>
        <v>4517254.932470507</v>
      </c>
      <c r="J65" s="797">
        <v>270</v>
      </c>
      <c r="K65" s="797">
        <f t="shared" si="22"/>
        <v>16730.573823964842</v>
      </c>
      <c r="L65" s="698"/>
      <c r="M65" s="698"/>
      <c r="N65" s="189" t="s">
        <v>650</v>
      </c>
      <c r="O65" s="810">
        <f t="shared" si="23"/>
        <v>40936</v>
      </c>
      <c r="P65" s="810">
        <v>40939</v>
      </c>
      <c r="Q65" s="811" t="s">
        <v>1552</v>
      </c>
      <c r="R65" s="304">
        <v>195</v>
      </c>
      <c r="S65" s="842">
        <v>20842</v>
      </c>
      <c r="T65" s="25">
        <f t="shared" si="24"/>
        <v>4064190</v>
      </c>
      <c r="U65" s="451"/>
      <c r="V65" s="810"/>
      <c r="W65" s="842"/>
      <c r="X65" s="842"/>
      <c r="Y65" s="25">
        <f t="shared" si="25"/>
        <v>0</v>
      </c>
    </row>
    <row r="66" spans="1:25">
      <c r="A66" s="847">
        <f t="shared" si="19"/>
        <v>61</v>
      </c>
      <c r="B66" s="297" t="s">
        <v>1516</v>
      </c>
      <c r="C66" s="25">
        <f t="shared" si="20"/>
        <v>2233881</v>
      </c>
      <c r="D66" s="797">
        <f t="shared" ref="D66:H75" si="27">IF($J$192&lt;&gt;0,D$192/$J$192*$J66,0)</f>
        <v>110752.91294784869</v>
      </c>
      <c r="E66" s="797">
        <f t="shared" si="27"/>
        <v>12395.542871684875</v>
      </c>
      <c r="F66" s="797">
        <f t="shared" si="27"/>
        <v>67604.566193445193</v>
      </c>
      <c r="G66" s="797">
        <f t="shared" si="27"/>
        <v>50092.705360551139</v>
      </c>
      <c r="H66" s="797">
        <f t="shared" si="27"/>
        <v>12535.031156272154</v>
      </c>
      <c r="I66" s="25">
        <f t="shared" si="21"/>
        <v>2487261.7585298023</v>
      </c>
      <c r="J66" s="797">
        <v>151</v>
      </c>
      <c r="K66" s="797">
        <f t="shared" si="22"/>
        <v>16471.932175694055</v>
      </c>
      <c r="L66" s="698"/>
      <c r="M66" s="698"/>
      <c r="N66" s="297" t="s">
        <v>1368</v>
      </c>
      <c r="O66" s="810">
        <f t="shared" si="23"/>
        <v>40936</v>
      </c>
      <c r="P66" s="810">
        <v>40939</v>
      </c>
      <c r="Q66" s="811" t="s">
        <v>1552</v>
      </c>
      <c r="R66" s="304">
        <v>183</v>
      </c>
      <c r="S66" s="842">
        <v>12207</v>
      </c>
      <c r="T66" s="25">
        <f t="shared" si="24"/>
        <v>2233881</v>
      </c>
      <c r="U66" s="451"/>
      <c r="V66" s="810"/>
      <c r="W66" s="842"/>
      <c r="X66" s="842"/>
      <c r="Y66" s="25">
        <f t="shared" si="25"/>
        <v>0</v>
      </c>
    </row>
    <row r="67" spans="1:25">
      <c r="A67" s="847">
        <f t="shared" si="19"/>
        <v>62</v>
      </c>
      <c r="B67" s="297" t="s">
        <v>1524</v>
      </c>
      <c r="C67" s="25">
        <f t="shared" si="20"/>
        <v>1041250</v>
      </c>
      <c r="D67" s="797">
        <f t="shared" si="27"/>
        <v>44007.779979277628</v>
      </c>
      <c r="E67" s="797">
        <f t="shared" si="27"/>
        <v>4925.3812735171687</v>
      </c>
      <c r="F67" s="797">
        <f t="shared" si="27"/>
        <v>26862.74153381928</v>
      </c>
      <c r="G67" s="797">
        <f t="shared" si="27"/>
        <v>19904.386235980586</v>
      </c>
      <c r="H67" s="797">
        <f t="shared" si="27"/>
        <v>4980.8070819624454</v>
      </c>
      <c r="I67" s="25">
        <f t="shared" si="21"/>
        <v>1141931.0961045572</v>
      </c>
      <c r="J67" s="797">
        <v>60</v>
      </c>
      <c r="K67" s="797">
        <f t="shared" si="22"/>
        <v>19032.184935075951</v>
      </c>
      <c r="L67" s="698"/>
      <c r="M67" s="698"/>
      <c r="N67" s="189" t="s">
        <v>616</v>
      </c>
      <c r="O67" s="810">
        <f t="shared" si="23"/>
        <v>40936</v>
      </c>
      <c r="P67" s="810">
        <v>40939</v>
      </c>
      <c r="Q67" s="811" t="s">
        <v>1552</v>
      </c>
      <c r="R67" s="304">
        <v>70</v>
      </c>
      <c r="S67" s="842">
        <v>14875</v>
      </c>
      <c r="T67" s="25">
        <f t="shared" si="24"/>
        <v>1041250</v>
      </c>
      <c r="U67" s="451"/>
      <c r="V67" s="810"/>
      <c r="W67" s="842"/>
      <c r="X67" s="842"/>
      <c r="Y67" s="25">
        <f t="shared" si="25"/>
        <v>0</v>
      </c>
    </row>
    <row r="68" spans="1:25">
      <c r="A68" s="847">
        <f t="shared" si="19"/>
        <v>63</v>
      </c>
      <c r="B68" s="297" t="s">
        <v>1498</v>
      </c>
      <c r="C68" s="25">
        <f t="shared" si="20"/>
        <v>1565360</v>
      </c>
      <c r="D68" s="797">
        <f t="shared" si="27"/>
        <v>110019.44994819406</v>
      </c>
      <c r="E68" s="797">
        <f t="shared" si="27"/>
        <v>12313.453183792921</v>
      </c>
      <c r="F68" s="797">
        <f t="shared" si="27"/>
        <v>67156.853834548208</v>
      </c>
      <c r="G68" s="797">
        <f t="shared" si="27"/>
        <v>49760.965589951462</v>
      </c>
      <c r="H68" s="797">
        <f t="shared" si="27"/>
        <v>12452.017704906113</v>
      </c>
      <c r="I68" s="25">
        <f t="shared" si="21"/>
        <v>1817062.7402613929</v>
      </c>
      <c r="J68" s="797">
        <v>150</v>
      </c>
      <c r="K68" s="797">
        <f t="shared" si="22"/>
        <v>12113.751601742619</v>
      </c>
      <c r="L68" s="698"/>
      <c r="M68" s="698"/>
      <c r="N68" s="189" t="s">
        <v>1373</v>
      </c>
      <c r="O68" s="810">
        <f t="shared" si="23"/>
        <v>40936</v>
      </c>
      <c r="P68" s="810">
        <v>40939</v>
      </c>
      <c r="Q68" s="811" t="s">
        <v>1552</v>
      </c>
      <c r="R68" s="304">
        <v>80</v>
      </c>
      <c r="S68" s="842">
        <v>19567</v>
      </c>
      <c r="T68" s="25">
        <f t="shared" si="24"/>
        <v>1565360</v>
      </c>
      <c r="U68" s="451"/>
      <c r="V68" s="810"/>
      <c r="W68" s="842"/>
      <c r="X68" s="842"/>
      <c r="Y68" s="25">
        <f t="shared" si="25"/>
        <v>0</v>
      </c>
    </row>
    <row r="69" spans="1:25">
      <c r="A69" s="847">
        <f t="shared" si="19"/>
        <v>64</v>
      </c>
      <c r="B69" s="297" t="s">
        <v>1234</v>
      </c>
      <c r="C69" s="25">
        <f t="shared" si="20"/>
        <v>10317033</v>
      </c>
      <c r="D69" s="797">
        <f t="shared" si="27"/>
        <v>440077.79979277623</v>
      </c>
      <c r="E69" s="797">
        <f t="shared" si="27"/>
        <v>49253.812735171683</v>
      </c>
      <c r="F69" s="797">
        <f t="shared" si="27"/>
        <v>268627.41533819283</v>
      </c>
      <c r="G69" s="797">
        <f t="shared" si="27"/>
        <v>199043.86235980585</v>
      </c>
      <c r="H69" s="797">
        <f t="shared" si="27"/>
        <v>49808.070819624452</v>
      </c>
      <c r="I69" s="25">
        <f t="shared" si="21"/>
        <v>11323843.961045569</v>
      </c>
      <c r="J69" s="797">
        <v>600</v>
      </c>
      <c r="K69" s="797">
        <f t="shared" si="22"/>
        <v>18873.07326840928</v>
      </c>
      <c r="L69" s="698"/>
      <c r="M69" s="698"/>
      <c r="N69" s="189" t="s">
        <v>636</v>
      </c>
      <c r="O69" s="810">
        <f t="shared" si="23"/>
        <v>40943</v>
      </c>
      <c r="P69" s="810">
        <v>40946</v>
      </c>
      <c r="Q69" s="811" t="s">
        <v>932</v>
      </c>
      <c r="R69" s="304">
        <v>503</v>
      </c>
      <c r="S69" s="842">
        <v>20511</v>
      </c>
      <c r="T69" s="25">
        <f t="shared" si="24"/>
        <v>10317033</v>
      </c>
      <c r="U69" s="451"/>
      <c r="V69" s="810"/>
      <c r="W69" s="842"/>
      <c r="X69" s="842"/>
      <c r="Y69" s="25">
        <f t="shared" si="25"/>
        <v>0</v>
      </c>
    </row>
    <row r="70" spans="1:25">
      <c r="A70" s="847">
        <f t="shared" si="19"/>
        <v>65</v>
      </c>
      <c r="B70" s="297" t="s">
        <v>1206</v>
      </c>
      <c r="C70" s="25">
        <f t="shared" si="20"/>
        <v>2176600</v>
      </c>
      <c r="D70" s="797">
        <f t="shared" si="27"/>
        <v>146692.59993092541</v>
      </c>
      <c r="E70" s="797">
        <f t="shared" si="27"/>
        <v>16417.93757839056</v>
      </c>
      <c r="F70" s="797">
        <f t="shared" si="27"/>
        <v>89542.471779397601</v>
      </c>
      <c r="G70" s="797">
        <f t="shared" si="27"/>
        <v>66347.954119935283</v>
      </c>
      <c r="H70" s="797">
        <f t="shared" si="27"/>
        <v>16602.690273208151</v>
      </c>
      <c r="I70" s="25">
        <f t="shared" si="21"/>
        <v>2512203.6536818566</v>
      </c>
      <c r="J70" s="797">
        <v>200</v>
      </c>
      <c r="K70" s="797">
        <f t="shared" si="22"/>
        <v>12561.018268409283</v>
      </c>
      <c r="L70" s="698"/>
      <c r="M70" s="698"/>
      <c r="N70" s="189" t="s">
        <v>1365</v>
      </c>
      <c r="O70" s="810">
        <f t="shared" si="23"/>
        <v>40943</v>
      </c>
      <c r="P70" s="810">
        <v>40946</v>
      </c>
      <c r="Q70" s="811" t="s">
        <v>932</v>
      </c>
      <c r="R70" s="304">
        <v>100</v>
      </c>
      <c r="S70" s="842">
        <v>21766</v>
      </c>
      <c r="T70" s="25">
        <f t="shared" si="24"/>
        <v>2176600</v>
      </c>
      <c r="U70" s="451"/>
      <c r="V70" s="810"/>
      <c r="W70" s="842"/>
      <c r="X70" s="842"/>
      <c r="Y70" s="25">
        <f t="shared" si="25"/>
        <v>0</v>
      </c>
    </row>
    <row r="71" spans="1:25">
      <c r="A71" s="847">
        <f t="shared" si="19"/>
        <v>66</v>
      </c>
      <c r="B71" s="297" t="s">
        <v>1233</v>
      </c>
      <c r="C71" s="25">
        <f t="shared" si="20"/>
        <v>6076500</v>
      </c>
      <c r="D71" s="797">
        <f t="shared" si="27"/>
        <v>220038.89989638812</v>
      </c>
      <c r="E71" s="797">
        <f t="shared" si="27"/>
        <v>24626.906367585842</v>
      </c>
      <c r="F71" s="797">
        <f t="shared" si="27"/>
        <v>134313.70766909642</v>
      </c>
      <c r="G71" s="797">
        <f t="shared" si="27"/>
        <v>99521.931179902924</v>
      </c>
      <c r="H71" s="797">
        <f t="shared" si="27"/>
        <v>24904.035409812226</v>
      </c>
      <c r="I71" s="25">
        <f t="shared" si="21"/>
        <v>6579905.4805227844</v>
      </c>
      <c r="J71" s="797">
        <v>300</v>
      </c>
      <c r="K71" s="797">
        <f t="shared" si="22"/>
        <v>21933.01826840928</v>
      </c>
      <c r="L71" s="698"/>
      <c r="M71" s="698"/>
      <c r="N71" s="189" t="s">
        <v>1251</v>
      </c>
      <c r="O71" s="810">
        <f t="shared" si="23"/>
        <v>40943</v>
      </c>
      <c r="P71" s="810">
        <v>40946</v>
      </c>
      <c r="Q71" s="811" t="s">
        <v>932</v>
      </c>
      <c r="R71" s="304">
        <v>300</v>
      </c>
      <c r="S71" s="842">
        <v>20255</v>
      </c>
      <c r="T71" s="25">
        <f t="shared" si="24"/>
        <v>6076500</v>
      </c>
      <c r="U71" s="451"/>
      <c r="V71" s="810"/>
      <c r="W71" s="842"/>
      <c r="X71" s="842"/>
      <c r="Y71" s="25">
        <f t="shared" si="25"/>
        <v>0</v>
      </c>
    </row>
    <row r="72" spans="1:25">
      <c r="A72" s="847">
        <f t="shared" si="19"/>
        <v>67</v>
      </c>
      <c r="B72" s="297" t="s">
        <v>933</v>
      </c>
      <c r="C72" s="25">
        <f t="shared" si="20"/>
        <v>175360</v>
      </c>
      <c r="D72" s="797">
        <f t="shared" si="27"/>
        <v>660116.69968916441</v>
      </c>
      <c r="E72" s="797">
        <f t="shared" si="27"/>
        <v>73880.719102757532</v>
      </c>
      <c r="F72" s="797">
        <f t="shared" si="27"/>
        <v>402941.12300728919</v>
      </c>
      <c r="G72" s="797">
        <f t="shared" si="27"/>
        <v>298565.79353970877</v>
      </c>
      <c r="H72" s="797">
        <f t="shared" si="27"/>
        <v>74712.106229436686</v>
      </c>
      <c r="I72" s="25">
        <f t="shared" si="21"/>
        <v>1685576.4415683565</v>
      </c>
      <c r="J72" s="797">
        <v>900</v>
      </c>
      <c r="K72" s="797">
        <f t="shared" si="22"/>
        <v>1872.8627128537294</v>
      </c>
      <c r="L72" s="698"/>
      <c r="M72" s="698"/>
      <c r="N72" s="297" t="s">
        <v>1366</v>
      </c>
      <c r="O72" s="810">
        <f t="shared" si="23"/>
        <v>40943</v>
      </c>
      <c r="P72" s="810">
        <v>40946</v>
      </c>
      <c r="Q72" s="811" t="s">
        <v>932</v>
      </c>
      <c r="R72" s="304">
        <v>20</v>
      </c>
      <c r="S72" s="842">
        <v>8768</v>
      </c>
      <c r="T72" s="25">
        <f t="shared" si="24"/>
        <v>175360</v>
      </c>
      <c r="U72" s="451"/>
      <c r="V72" s="810"/>
      <c r="W72" s="842"/>
      <c r="X72" s="842"/>
      <c r="Y72" s="25">
        <f t="shared" si="25"/>
        <v>0</v>
      </c>
    </row>
    <row r="73" spans="1:25">
      <c r="A73" s="847">
        <f t="shared" si="19"/>
        <v>68</v>
      </c>
      <c r="B73" s="297" t="s">
        <v>934</v>
      </c>
      <c r="C73" s="25">
        <f t="shared" si="20"/>
        <v>175360</v>
      </c>
      <c r="D73" s="797">
        <f t="shared" si="27"/>
        <v>660116.69968916441</v>
      </c>
      <c r="E73" s="797">
        <f t="shared" si="27"/>
        <v>73880.719102757532</v>
      </c>
      <c r="F73" s="797">
        <f t="shared" si="27"/>
        <v>402941.12300728919</v>
      </c>
      <c r="G73" s="797">
        <f t="shared" si="27"/>
        <v>298565.79353970877</v>
      </c>
      <c r="H73" s="797">
        <f t="shared" si="27"/>
        <v>74712.106229436686</v>
      </c>
      <c r="I73" s="25">
        <f t="shared" si="21"/>
        <v>1685576.4415683565</v>
      </c>
      <c r="J73" s="797">
        <v>900</v>
      </c>
      <c r="K73" s="797">
        <f t="shared" si="22"/>
        <v>1872.8627128537294</v>
      </c>
      <c r="L73" s="698"/>
      <c r="M73" s="698"/>
      <c r="N73" s="297" t="s">
        <v>1366</v>
      </c>
      <c r="O73" s="810">
        <f t="shared" si="23"/>
        <v>40943</v>
      </c>
      <c r="P73" s="810">
        <v>40946</v>
      </c>
      <c r="Q73" s="811" t="s">
        <v>932</v>
      </c>
      <c r="R73" s="304">
        <v>20</v>
      </c>
      <c r="S73" s="842">
        <v>8768</v>
      </c>
      <c r="T73" s="25">
        <f t="shared" si="24"/>
        <v>175360</v>
      </c>
      <c r="U73" s="451"/>
      <c r="V73" s="810"/>
      <c r="W73" s="842"/>
      <c r="X73" s="842"/>
      <c r="Y73" s="25">
        <f t="shared" si="25"/>
        <v>0</v>
      </c>
    </row>
    <row r="74" spans="1:25">
      <c r="A74" s="847">
        <f t="shared" si="19"/>
        <v>69</v>
      </c>
      <c r="B74" s="297" t="s">
        <v>935</v>
      </c>
      <c r="C74" s="25">
        <f t="shared" si="20"/>
        <v>2808260</v>
      </c>
      <c r="D74" s="797">
        <f t="shared" si="27"/>
        <v>365264.5738280043</v>
      </c>
      <c r="E74" s="797">
        <f t="shared" si="27"/>
        <v>40880.664570192501</v>
      </c>
      <c r="F74" s="797">
        <f t="shared" si="27"/>
        <v>222960.75473070002</v>
      </c>
      <c r="G74" s="797">
        <f t="shared" si="27"/>
        <v>165206.40575863887</v>
      </c>
      <c r="H74" s="797">
        <f t="shared" si="27"/>
        <v>41340.698780288294</v>
      </c>
      <c r="I74" s="25">
        <f t="shared" si="21"/>
        <v>3643913.097667824</v>
      </c>
      <c r="J74" s="797">
        <v>498</v>
      </c>
      <c r="K74" s="797">
        <f t="shared" si="22"/>
        <v>7317.0945736301683</v>
      </c>
      <c r="L74" s="698"/>
      <c r="M74" s="698"/>
      <c r="N74" s="189" t="s">
        <v>1248</v>
      </c>
      <c r="O74" s="810">
        <f t="shared" si="23"/>
        <v>40950</v>
      </c>
      <c r="P74" s="810">
        <v>40953</v>
      </c>
      <c r="Q74" s="811" t="s">
        <v>936</v>
      </c>
      <c r="R74" s="304">
        <v>140</v>
      </c>
      <c r="S74" s="842">
        <v>20059</v>
      </c>
      <c r="T74" s="25">
        <f t="shared" si="24"/>
        <v>2808260</v>
      </c>
      <c r="U74" s="451"/>
      <c r="V74" s="810"/>
      <c r="W74" s="842"/>
      <c r="X74" s="842"/>
      <c r="Y74" s="25">
        <f t="shared" si="25"/>
        <v>0</v>
      </c>
    </row>
    <row r="75" spans="1:25">
      <c r="A75" s="847">
        <f t="shared" si="19"/>
        <v>70</v>
      </c>
      <c r="B75" s="297" t="s">
        <v>1157</v>
      </c>
      <c r="C75" s="25">
        <f t="shared" si="20"/>
        <v>6806348</v>
      </c>
      <c r="D75" s="797">
        <f t="shared" si="27"/>
        <v>623443.54970643297</v>
      </c>
      <c r="E75" s="797">
        <f t="shared" si="27"/>
        <v>69776.234708159885</v>
      </c>
      <c r="F75" s="797">
        <f t="shared" si="27"/>
        <v>380555.50506243983</v>
      </c>
      <c r="G75" s="797">
        <f t="shared" si="27"/>
        <v>281978.80500972498</v>
      </c>
      <c r="H75" s="797">
        <f t="shared" si="27"/>
        <v>70561.433661134637</v>
      </c>
      <c r="I75" s="25">
        <f t="shared" si="21"/>
        <v>8232663.5281478921</v>
      </c>
      <c r="J75" s="797">
        <v>850</v>
      </c>
      <c r="K75" s="797">
        <f t="shared" si="22"/>
        <v>9685.4865037034033</v>
      </c>
      <c r="L75" s="698"/>
      <c r="M75" s="698"/>
      <c r="N75" s="189" t="s">
        <v>604</v>
      </c>
      <c r="O75" s="810">
        <f t="shared" si="23"/>
        <v>40950</v>
      </c>
      <c r="P75" s="810">
        <v>40953</v>
      </c>
      <c r="Q75" s="811" t="s">
        <v>1553</v>
      </c>
      <c r="R75" s="304">
        <v>509</v>
      </c>
      <c r="S75" s="842">
        <v>13372</v>
      </c>
      <c r="T75" s="25">
        <f t="shared" si="24"/>
        <v>6806348</v>
      </c>
      <c r="U75" s="451"/>
      <c r="V75" s="810"/>
      <c r="W75" s="842"/>
      <c r="X75" s="842"/>
      <c r="Y75" s="25">
        <f t="shared" si="25"/>
        <v>0</v>
      </c>
    </row>
    <row r="76" spans="1:25">
      <c r="A76" s="847">
        <f t="shared" si="19"/>
        <v>71</v>
      </c>
      <c r="B76" s="297" t="s">
        <v>551</v>
      </c>
      <c r="C76" s="25">
        <f t="shared" si="20"/>
        <v>4207510</v>
      </c>
      <c r="D76" s="797">
        <f t="shared" ref="D76:H85" si="28">IF($J$192&lt;&gt;0,D$192/$J$192*$J76,0)</f>
        <v>366731.49982731353</v>
      </c>
      <c r="E76" s="797">
        <f t="shared" si="28"/>
        <v>41044.843945976405</v>
      </c>
      <c r="F76" s="797">
        <f t="shared" si="28"/>
        <v>223856.17944849399</v>
      </c>
      <c r="G76" s="797">
        <f t="shared" si="28"/>
        <v>165869.88529983821</v>
      </c>
      <c r="H76" s="797">
        <f t="shared" si="28"/>
        <v>41506.725683020377</v>
      </c>
      <c r="I76" s="25">
        <f t="shared" si="21"/>
        <v>5046519.1342046419</v>
      </c>
      <c r="J76" s="797">
        <v>500</v>
      </c>
      <c r="K76" s="797">
        <f t="shared" si="22"/>
        <v>10093.038268409284</v>
      </c>
      <c r="L76" s="698"/>
      <c r="M76" s="698"/>
      <c r="N76" s="192" t="s">
        <v>667</v>
      </c>
      <c r="O76" s="810">
        <f t="shared" si="23"/>
        <v>40953</v>
      </c>
      <c r="P76" s="810">
        <v>40956</v>
      </c>
      <c r="Q76" s="811" t="s">
        <v>937</v>
      </c>
      <c r="R76" s="304">
        <v>254</v>
      </c>
      <c r="S76" s="842">
        <v>16565</v>
      </c>
      <c r="T76" s="25">
        <f t="shared" si="24"/>
        <v>4207510</v>
      </c>
      <c r="U76" s="451"/>
      <c r="V76" s="810"/>
      <c r="W76" s="842"/>
      <c r="X76" s="842"/>
      <c r="Y76" s="25">
        <f t="shared" si="25"/>
        <v>0</v>
      </c>
    </row>
    <row r="77" spans="1:25">
      <c r="A77" s="847">
        <f t="shared" si="19"/>
        <v>72</v>
      </c>
      <c r="B77" s="297" t="s">
        <v>1157</v>
      </c>
      <c r="C77" s="25">
        <f t="shared" si="20"/>
        <v>7164004</v>
      </c>
      <c r="D77" s="797">
        <f t="shared" si="28"/>
        <v>682120.58967880323</v>
      </c>
      <c r="E77" s="797">
        <f t="shared" si="28"/>
        <v>76343.409739516108</v>
      </c>
      <c r="F77" s="797">
        <f t="shared" si="28"/>
        <v>416372.49377419887</v>
      </c>
      <c r="G77" s="797">
        <f t="shared" si="28"/>
        <v>308517.9866576991</v>
      </c>
      <c r="H77" s="797">
        <f t="shared" si="28"/>
        <v>77202.509770417906</v>
      </c>
      <c r="I77" s="25">
        <f t="shared" si="21"/>
        <v>8724560.9896206353</v>
      </c>
      <c r="J77" s="797">
        <v>930</v>
      </c>
      <c r="K77" s="797">
        <f t="shared" si="22"/>
        <v>9381.2483759361676</v>
      </c>
      <c r="L77" s="698"/>
      <c r="M77" s="698"/>
      <c r="N77" s="189" t="s">
        <v>631</v>
      </c>
      <c r="O77" s="810">
        <f t="shared" si="23"/>
        <v>40956</v>
      </c>
      <c r="P77" s="810">
        <v>40959</v>
      </c>
      <c r="Q77" s="811" t="s">
        <v>1554</v>
      </c>
      <c r="R77" s="304">
        <v>274</v>
      </c>
      <c r="S77" s="842">
        <v>26146</v>
      </c>
      <c r="T77" s="25">
        <f t="shared" si="24"/>
        <v>7164004</v>
      </c>
      <c r="U77" s="451"/>
      <c r="V77" s="810"/>
      <c r="W77" s="842"/>
      <c r="X77" s="842"/>
      <c r="Y77" s="25">
        <f t="shared" si="25"/>
        <v>0</v>
      </c>
    </row>
    <row r="78" spans="1:25">
      <c r="A78" s="847">
        <f t="shared" si="19"/>
        <v>73</v>
      </c>
      <c r="B78" s="297" t="s">
        <v>1557</v>
      </c>
      <c r="C78" s="25">
        <f t="shared" si="20"/>
        <v>15462452</v>
      </c>
      <c r="D78" s="797">
        <f t="shared" si="28"/>
        <v>726128.36965808086</v>
      </c>
      <c r="E78" s="797">
        <f t="shared" si="28"/>
        <v>81268.791013033275</v>
      </c>
      <c r="F78" s="797">
        <f t="shared" si="28"/>
        <v>443235.23530801811</v>
      </c>
      <c r="G78" s="797">
        <f t="shared" si="28"/>
        <v>328422.37289367965</v>
      </c>
      <c r="H78" s="797">
        <f t="shared" si="28"/>
        <v>82183.316852380347</v>
      </c>
      <c r="I78" s="25">
        <f t="shared" si="21"/>
        <v>17123690.085725192</v>
      </c>
      <c r="J78" s="797">
        <v>990</v>
      </c>
      <c r="K78" s="797">
        <f t="shared" si="22"/>
        <v>17296.656652247668</v>
      </c>
      <c r="L78" s="698"/>
      <c r="M78" s="698"/>
      <c r="N78" s="297" t="s">
        <v>1250</v>
      </c>
      <c r="O78" s="810">
        <f t="shared" si="23"/>
        <v>40956</v>
      </c>
      <c r="P78" s="810">
        <v>40959</v>
      </c>
      <c r="Q78" s="811" t="s">
        <v>1554</v>
      </c>
      <c r="R78" s="304">
        <v>493</v>
      </c>
      <c r="S78" s="842">
        <v>31364</v>
      </c>
      <c r="T78" s="25">
        <f t="shared" si="24"/>
        <v>15462452</v>
      </c>
      <c r="U78" s="451"/>
      <c r="V78" s="810"/>
      <c r="W78" s="842"/>
      <c r="X78" s="842"/>
      <c r="Y78" s="25">
        <f t="shared" si="25"/>
        <v>0</v>
      </c>
    </row>
    <row r="79" spans="1:25">
      <c r="A79" s="847">
        <f t="shared" ref="A79:A110" si="29">IF(B79&lt;&gt;"",A78+1,"")</f>
        <v>74</v>
      </c>
      <c r="B79" s="297" t="s">
        <v>1490</v>
      </c>
      <c r="C79" s="25">
        <f t="shared" ref="C79:C110" si="30">T79</f>
        <v>1467525</v>
      </c>
      <c r="D79" s="797">
        <f t="shared" si="28"/>
        <v>73346.299965462706</v>
      </c>
      <c r="E79" s="797">
        <f t="shared" si="28"/>
        <v>8208.9687891952799</v>
      </c>
      <c r="F79" s="797">
        <f t="shared" si="28"/>
        <v>44771.235889698801</v>
      </c>
      <c r="G79" s="797">
        <f t="shared" si="28"/>
        <v>33173.977059967641</v>
      </c>
      <c r="H79" s="797">
        <f t="shared" si="28"/>
        <v>8301.3451366040754</v>
      </c>
      <c r="I79" s="25">
        <f t="shared" ref="I79:I110" si="31">SUM(C79:H79)</f>
        <v>1635326.8268409283</v>
      </c>
      <c r="J79" s="797">
        <v>100</v>
      </c>
      <c r="K79" s="797">
        <f t="shared" ref="K79:K110" si="32">IF(J79&lt;&gt;"",I79/J79,"")</f>
        <v>16353.268268409283</v>
      </c>
      <c r="L79" s="698"/>
      <c r="M79" s="698"/>
      <c r="N79" s="189" t="s">
        <v>1373</v>
      </c>
      <c r="O79" s="810">
        <f t="shared" ref="O79:O110" si="33">P79-3</f>
        <v>40959</v>
      </c>
      <c r="P79" s="810">
        <v>40962</v>
      </c>
      <c r="Q79" s="811" t="s">
        <v>938</v>
      </c>
      <c r="R79" s="304">
        <v>75</v>
      </c>
      <c r="S79" s="842">
        <v>19567</v>
      </c>
      <c r="T79" s="25">
        <f t="shared" ref="T79:T110" si="34">ROUND(R79*S79,0)</f>
        <v>1467525</v>
      </c>
      <c r="U79" s="451"/>
      <c r="V79" s="810"/>
      <c r="W79" s="842"/>
      <c r="X79" s="842"/>
      <c r="Y79" s="25">
        <f t="shared" ref="Y79:Y110" si="35">W79*X79</f>
        <v>0</v>
      </c>
    </row>
    <row r="80" spans="1:25">
      <c r="A80" s="847">
        <f t="shared" si="29"/>
        <v>75</v>
      </c>
      <c r="B80" s="297" t="s">
        <v>1559</v>
      </c>
      <c r="C80" s="25">
        <f t="shared" si="30"/>
        <v>1870428</v>
      </c>
      <c r="D80" s="797">
        <f t="shared" si="28"/>
        <v>146692.59993092541</v>
      </c>
      <c r="E80" s="797">
        <f t="shared" si="28"/>
        <v>16417.93757839056</v>
      </c>
      <c r="F80" s="797">
        <f t="shared" si="28"/>
        <v>89542.471779397601</v>
      </c>
      <c r="G80" s="797">
        <f t="shared" si="28"/>
        <v>66347.954119935283</v>
      </c>
      <c r="H80" s="797">
        <f t="shared" si="28"/>
        <v>16602.690273208151</v>
      </c>
      <c r="I80" s="25">
        <f t="shared" si="31"/>
        <v>2206031.6536818566</v>
      </c>
      <c r="J80" s="797">
        <v>200</v>
      </c>
      <c r="K80" s="797">
        <f t="shared" si="32"/>
        <v>11030.158268409283</v>
      </c>
      <c r="L80" s="698"/>
      <c r="M80" s="698"/>
      <c r="N80" s="189" t="s">
        <v>652</v>
      </c>
      <c r="O80" s="810">
        <f t="shared" si="33"/>
        <v>40960</v>
      </c>
      <c r="P80" s="810">
        <v>40963</v>
      </c>
      <c r="Q80" s="811" t="s">
        <v>1558</v>
      </c>
      <c r="R80" s="304">
        <v>98</v>
      </c>
      <c r="S80" s="842">
        <v>19086</v>
      </c>
      <c r="T80" s="25">
        <f t="shared" si="34"/>
        <v>1870428</v>
      </c>
      <c r="U80" s="451"/>
      <c r="V80" s="810"/>
      <c r="W80" s="842"/>
      <c r="X80" s="842"/>
      <c r="Y80" s="25">
        <f t="shared" si="35"/>
        <v>0</v>
      </c>
    </row>
    <row r="81" spans="1:25">
      <c r="A81" s="847">
        <f t="shared" si="29"/>
        <v>76</v>
      </c>
      <c r="B81" s="297" t="s">
        <v>1560</v>
      </c>
      <c r="C81" s="25">
        <f t="shared" si="30"/>
        <v>114200</v>
      </c>
      <c r="D81" s="797">
        <f t="shared" si="28"/>
        <v>146692.59993092541</v>
      </c>
      <c r="E81" s="797">
        <f t="shared" si="28"/>
        <v>16417.93757839056</v>
      </c>
      <c r="F81" s="797">
        <f t="shared" si="28"/>
        <v>89542.471779397601</v>
      </c>
      <c r="G81" s="797">
        <f t="shared" si="28"/>
        <v>66347.954119935283</v>
      </c>
      <c r="H81" s="797">
        <f t="shared" si="28"/>
        <v>16602.690273208151</v>
      </c>
      <c r="I81" s="25">
        <f t="shared" si="31"/>
        <v>449803.65368185699</v>
      </c>
      <c r="J81" s="797">
        <v>200</v>
      </c>
      <c r="K81" s="797">
        <f t="shared" si="32"/>
        <v>2249.0182684092852</v>
      </c>
      <c r="L81" s="698"/>
      <c r="M81" s="698"/>
      <c r="N81" s="189" t="s">
        <v>653</v>
      </c>
      <c r="O81" s="810">
        <f t="shared" si="33"/>
        <v>40960</v>
      </c>
      <c r="P81" s="810">
        <v>40963</v>
      </c>
      <c r="Q81" s="811" t="s">
        <v>1558</v>
      </c>
      <c r="R81" s="304">
        <f>J81</f>
        <v>200</v>
      </c>
      <c r="S81" s="842">
        <v>571</v>
      </c>
      <c r="T81" s="25">
        <f t="shared" si="34"/>
        <v>114200</v>
      </c>
      <c r="U81" s="451"/>
      <c r="V81" s="810"/>
      <c r="W81" s="842"/>
      <c r="X81" s="842"/>
      <c r="Y81" s="25">
        <f t="shared" si="35"/>
        <v>0</v>
      </c>
    </row>
    <row r="82" spans="1:25">
      <c r="A82" s="847">
        <f t="shared" si="29"/>
        <v>77</v>
      </c>
      <c r="B82" s="297" t="s">
        <v>1496</v>
      </c>
      <c r="C82" s="25">
        <f t="shared" si="30"/>
        <v>8755660</v>
      </c>
      <c r="D82" s="797">
        <f t="shared" si="28"/>
        <v>539095.30474615085</v>
      </c>
      <c r="E82" s="797">
        <f t="shared" si="28"/>
        <v>60335.920600585312</v>
      </c>
      <c r="F82" s="797">
        <f t="shared" si="28"/>
        <v>329068.5837892862</v>
      </c>
      <c r="G82" s="797">
        <f t="shared" si="28"/>
        <v>243828.73139076217</v>
      </c>
      <c r="H82" s="797">
        <f t="shared" si="28"/>
        <v>61014.886754039951</v>
      </c>
      <c r="I82" s="25">
        <f t="shared" si="31"/>
        <v>9989003.4272808246</v>
      </c>
      <c r="J82" s="797">
        <v>735</v>
      </c>
      <c r="K82" s="797">
        <f t="shared" si="32"/>
        <v>13590.4808534433</v>
      </c>
      <c r="L82" s="698"/>
      <c r="M82" s="698"/>
      <c r="N82" s="189" t="s">
        <v>1371</v>
      </c>
      <c r="O82" s="810">
        <f t="shared" si="33"/>
        <v>40962</v>
      </c>
      <c r="P82" s="810">
        <v>40965</v>
      </c>
      <c r="Q82" s="811" t="s">
        <v>1495</v>
      </c>
      <c r="R82" s="304">
        <v>430</v>
      </c>
      <c r="S82" s="842">
        <v>20362</v>
      </c>
      <c r="T82" s="25">
        <f t="shared" si="34"/>
        <v>8755660</v>
      </c>
      <c r="U82" s="451"/>
      <c r="V82" s="810"/>
      <c r="W82" s="842"/>
      <c r="X82" s="842"/>
      <c r="Y82" s="25">
        <f t="shared" si="35"/>
        <v>0</v>
      </c>
    </row>
    <row r="83" spans="1:25">
      <c r="A83" s="847">
        <f t="shared" si="29"/>
        <v>78</v>
      </c>
      <c r="B83" s="297" t="s">
        <v>1497</v>
      </c>
      <c r="C83" s="25">
        <f t="shared" si="30"/>
        <v>8555</v>
      </c>
      <c r="D83" s="797">
        <f t="shared" si="28"/>
        <v>1466.9259993092542</v>
      </c>
      <c r="E83" s="797">
        <f t="shared" si="28"/>
        <v>164.17937578390561</v>
      </c>
      <c r="F83" s="797">
        <f t="shared" si="28"/>
        <v>895.42471779397601</v>
      </c>
      <c r="G83" s="797">
        <f t="shared" si="28"/>
        <v>663.47954119935287</v>
      </c>
      <c r="H83" s="797">
        <f t="shared" si="28"/>
        <v>166.02690273208151</v>
      </c>
      <c r="I83" s="25">
        <f t="shared" si="31"/>
        <v>11911.03653681857</v>
      </c>
      <c r="J83" s="797">
        <v>2</v>
      </c>
      <c r="K83" s="797">
        <f t="shared" si="32"/>
        <v>5955.5182684092852</v>
      </c>
      <c r="L83" s="698"/>
      <c r="M83" s="698"/>
      <c r="N83" s="192" t="s">
        <v>670</v>
      </c>
      <c r="O83" s="810">
        <f t="shared" si="33"/>
        <v>40962</v>
      </c>
      <c r="P83" s="810">
        <v>40965</v>
      </c>
      <c r="Q83" s="811" t="s">
        <v>1495</v>
      </c>
      <c r="R83" s="304">
        <v>1</v>
      </c>
      <c r="S83" s="842">
        <v>8555</v>
      </c>
      <c r="T83" s="25">
        <f t="shared" si="34"/>
        <v>8555</v>
      </c>
      <c r="U83" s="451"/>
      <c r="V83" s="810"/>
      <c r="W83" s="842"/>
      <c r="X83" s="842"/>
      <c r="Y83" s="25">
        <f t="shared" si="35"/>
        <v>0</v>
      </c>
    </row>
    <row r="84" spans="1:25">
      <c r="A84" s="847">
        <f t="shared" si="29"/>
        <v>79</v>
      </c>
      <c r="B84" s="297" t="s">
        <v>1498</v>
      </c>
      <c r="C84" s="25">
        <f t="shared" si="30"/>
        <v>25662</v>
      </c>
      <c r="D84" s="797">
        <f t="shared" si="28"/>
        <v>1466.9259993092542</v>
      </c>
      <c r="E84" s="797">
        <f t="shared" si="28"/>
        <v>164.17937578390561</v>
      </c>
      <c r="F84" s="797">
        <f t="shared" si="28"/>
        <v>895.42471779397601</v>
      </c>
      <c r="G84" s="797">
        <f t="shared" si="28"/>
        <v>663.47954119935287</v>
      </c>
      <c r="H84" s="797">
        <f t="shared" si="28"/>
        <v>166.02690273208151</v>
      </c>
      <c r="I84" s="25">
        <f t="shared" si="31"/>
        <v>29018.03653681857</v>
      </c>
      <c r="J84" s="797">
        <v>2</v>
      </c>
      <c r="K84" s="797">
        <f t="shared" si="32"/>
        <v>14509.018268409285</v>
      </c>
      <c r="L84" s="698"/>
      <c r="M84" s="698"/>
      <c r="N84" s="192" t="s">
        <v>670</v>
      </c>
      <c r="O84" s="810">
        <f t="shared" si="33"/>
        <v>40962</v>
      </c>
      <c r="P84" s="810">
        <v>40965</v>
      </c>
      <c r="Q84" s="811" t="s">
        <v>1495</v>
      </c>
      <c r="R84" s="304">
        <v>3</v>
      </c>
      <c r="S84" s="842">
        <f>8555-1</f>
        <v>8554</v>
      </c>
      <c r="T84" s="25">
        <f t="shared" si="34"/>
        <v>25662</v>
      </c>
      <c r="U84" s="451"/>
      <c r="V84" s="810"/>
      <c r="W84" s="842"/>
      <c r="X84" s="842"/>
      <c r="Y84" s="25">
        <f t="shared" si="35"/>
        <v>0</v>
      </c>
    </row>
    <row r="85" spans="1:25">
      <c r="A85" s="847">
        <f t="shared" si="29"/>
        <v>80</v>
      </c>
      <c r="B85" s="297" t="s">
        <v>1499</v>
      </c>
      <c r="C85" s="25">
        <f t="shared" si="30"/>
        <v>4278</v>
      </c>
      <c r="D85" s="797">
        <f t="shared" si="28"/>
        <v>733.46299965462708</v>
      </c>
      <c r="E85" s="797">
        <f t="shared" si="28"/>
        <v>82.089687891952806</v>
      </c>
      <c r="F85" s="797">
        <f t="shared" si="28"/>
        <v>447.71235889698801</v>
      </c>
      <c r="G85" s="797">
        <f t="shared" si="28"/>
        <v>331.73977059967643</v>
      </c>
      <c r="H85" s="797">
        <f t="shared" si="28"/>
        <v>83.013451366040755</v>
      </c>
      <c r="I85" s="25">
        <f t="shared" si="31"/>
        <v>5956.0182684092852</v>
      </c>
      <c r="J85" s="797">
        <v>1</v>
      </c>
      <c r="K85" s="797">
        <f t="shared" si="32"/>
        <v>5956.0182684092852</v>
      </c>
      <c r="L85" s="698"/>
      <c r="M85" s="698"/>
      <c r="N85" s="192" t="s">
        <v>670</v>
      </c>
      <c r="O85" s="810">
        <f t="shared" si="33"/>
        <v>40962</v>
      </c>
      <c r="P85" s="810">
        <v>40965</v>
      </c>
      <c r="Q85" s="811" t="s">
        <v>1495</v>
      </c>
      <c r="R85" s="304">
        <v>0.5</v>
      </c>
      <c r="S85" s="842">
        <v>8555</v>
      </c>
      <c r="T85" s="25">
        <f t="shared" si="34"/>
        <v>4278</v>
      </c>
      <c r="U85" s="451"/>
      <c r="V85" s="810"/>
      <c r="W85" s="842"/>
      <c r="X85" s="842"/>
      <c r="Y85" s="25">
        <f t="shared" si="35"/>
        <v>0</v>
      </c>
    </row>
    <row r="86" spans="1:25">
      <c r="A86" s="847">
        <f t="shared" si="29"/>
        <v>81</v>
      </c>
      <c r="B86" s="297" t="s">
        <v>1500</v>
      </c>
      <c r="C86" s="25">
        <f t="shared" si="30"/>
        <v>8555</v>
      </c>
      <c r="D86" s="797">
        <f t="shared" ref="D86:H95" si="36">IF($J$192&lt;&gt;0,D$192/$J$192*$J86,0)</f>
        <v>733.46299965462708</v>
      </c>
      <c r="E86" s="797">
        <f t="shared" si="36"/>
        <v>82.089687891952806</v>
      </c>
      <c r="F86" s="797">
        <f t="shared" si="36"/>
        <v>447.71235889698801</v>
      </c>
      <c r="G86" s="797">
        <f t="shared" si="36"/>
        <v>331.73977059967643</v>
      </c>
      <c r="H86" s="797">
        <f t="shared" si="36"/>
        <v>83.013451366040755</v>
      </c>
      <c r="I86" s="25">
        <f t="shared" si="31"/>
        <v>10233.018268409285</v>
      </c>
      <c r="J86" s="797">
        <v>1</v>
      </c>
      <c r="K86" s="797">
        <f t="shared" si="32"/>
        <v>10233.018268409285</v>
      </c>
      <c r="L86" s="698"/>
      <c r="M86" s="698"/>
      <c r="N86" s="192" t="s">
        <v>670</v>
      </c>
      <c r="O86" s="810">
        <f t="shared" si="33"/>
        <v>40962</v>
      </c>
      <c r="P86" s="810">
        <v>40965</v>
      </c>
      <c r="Q86" s="811" t="s">
        <v>1495</v>
      </c>
      <c r="R86" s="304">
        <v>1</v>
      </c>
      <c r="S86" s="842">
        <v>8555</v>
      </c>
      <c r="T86" s="25">
        <f t="shared" si="34"/>
        <v>8555</v>
      </c>
      <c r="U86" s="451"/>
      <c r="V86" s="810"/>
      <c r="W86" s="842"/>
      <c r="X86" s="842"/>
      <c r="Y86" s="25">
        <f t="shared" si="35"/>
        <v>0</v>
      </c>
    </row>
    <row r="87" spans="1:25">
      <c r="A87" s="847">
        <f t="shared" si="29"/>
        <v>82</v>
      </c>
      <c r="B87" s="297" t="s">
        <v>1501</v>
      </c>
      <c r="C87" s="25">
        <f t="shared" si="30"/>
        <v>4278</v>
      </c>
      <c r="D87" s="797">
        <f t="shared" si="36"/>
        <v>733.46299965462708</v>
      </c>
      <c r="E87" s="797">
        <f t="shared" si="36"/>
        <v>82.089687891952806</v>
      </c>
      <c r="F87" s="797">
        <f t="shared" si="36"/>
        <v>447.71235889698801</v>
      </c>
      <c r="G87" s="797">
        <f t="shared" si="36"/>
        <v>331.73977059967643</v>
      </c>
      <c r="H87" s="797">
        <f t="shared" si="36"/>
        <v>83.013451366040755</v>
      </c>
      <c r="I87" s="25">
        <f t="shared" si="31"/>
        <v>5956.0182684092852</v>
      </c>
      <c r="J87" s="797">
        <v>1</v>
      </c>
      <c r="K87" s="797">
        <f t="shared" si="32"/>
        <v>5956.0182684092852</v>
      </c>
      <c r="L87" s="698"/>
      <c r="M87" s="698"/>
      <c r="N87" s="192" t="s">
        <v>670</v>
      </c>
      <c r="O87" s="810">
        <f t="shared" si="33"/>
        <v>40962</v>
      </c>
      <c r="P87" s="810">
        <v>40965</v>
      </c>
      <c r="Q87" s="811" t="s">
        <v>1495</v>
      </c>
      <c r="R87" s="304">
        <v>0.5</v>
      </c>
      <c r="S87" s="842">
        <v>8555</v>
      </c>
      <c r="T87" s="25">
        <f t="shared" si="34"/>
        <v>4278</v>
      </c>
      <c r="U87" s="451"/>
      <c r="V87" s="810"/>
      <c r="W87" s="842"/>
      <c r="X87" s="842"/>
      <c r="Y87" s="25">
        <f t="shared" si="35"/>
        <v>0</v>
      </c>
    </row>
    <row r="88" spans="1:25">
      <c r="A88" s="847">
        <f t="shared" si="29"/>
        <v>83</v>
      </c>
      <c r="B88" s="297" t="s">
        <v>1502</v>
      </c>
      <c r="C88" s="25">
        <f t="shared" si="30"/>
        <v>4278</v>
      </c>
      <c r="D88" s="797">
        <f t="shared" si="36"/>
        <v>733.46299965462708</v>
      </c>
      <c r="E88" s="797">
        <f t="shared" si="36"/>
        <v>82.089687891952806</v>
      </c>
      <c r="F88" s="797">
        <f t="shared" si="36"/>
        <v>447.71235889698801</v>
      </c>
      <c r="G88" s="797">
        <f t="shared" si="36"/>
        <v>331.73977059967643</v>
      </c>
      <c r="H88" s="797">
        <f t="shared" si="36"/>
        <v>83.013451366040755</v>
      </c>
      <c r="I88" s="25">
        <f t="shared" si="31"/>
        <v>5956.0182684092852</v>
      </c>
      <c r="J88" s="797">
        <v>1</v>
      </c>
      <c r="K88" s="797">
        <f t="shared" si="32"/>
        <v>5956.0182684092852</v>
      </c>
      <c r="L88" s="698"/>
      <c r="M88" s="698"/>
      <c r="N88" s="192" t="s">
        <v>670</v>
      </c>
      <c r="O88" s="810">
        <f t="shared" si="33"/>
        <v>40962</v>
      </c>
      <c r="P88" s="810">
        <v>40965</v>
      </c>
      <c r="Q88" s="811" t="s">
        <v>1495</v>
      </c>
      <c r="R88" s="304">
        <v>0.5</v>
      </c>
      <c r="S88" s="842">
        <v>8555</v>
      </c>
      <c r="T88" s="25">
        <f t="shared" si="34"/>
        <v>4278</v>
      </c>
      <c r="U88" s="451"/>
      <c r="V88" s="810"/>
      <c r="W88" s="842"/>
      <c r="X88" s="842"/>
      <c r="Y88" s="25">
        <f t="shared" si="35"/>
        <v>0</v>
      </c>
    </row>
    <row r="89" spans="1:25">
      <c r="A89" s="847">
        <f t="shared" si="29"/>
        <v>84</v>
      </c>
      <c r="B89" s="297" t="s">
        <v>1503</v>
      </c>
      <c r="C89" s="25">
        <f t="shared" si="30"/>
        <v>4278</v>
      </c>
      <c r="D89" s="797">
        <f t="shared" si="36"/>
        <v>733.46299965462708</v>
      </c>
      <c r="E89" s="797">
        <f t="shared" si="36"/>
        <v>82.089687891952806</v>
      </c>
      <c r="F89" s="797">
        <f t="shared" si="36"/>
        <v>447.71235889698801</v>
      </c>
      <c r="G89" s="797">
        <f t="shared" si="36"/>
        <v>331.73977059967643</v>
      </c>
      <c r="H89" s="797">
        <f t="shared" si="36"/>
        <v>83.013451366040755</v>
      </c>
      <c r="I89" s="25">
        <f t="shared" si="31"/>
        <v>5956.0182684092852</v>
      </c>
      <c r="J89" s="797">
        <v>1</v>
      </c>
      <c r="K89" s="797">
        <f t="shared" si="32"/>
        <v>5956.0182684092852</v>
      </c>
      <c r="L89" s="698"/>
      <c r="M89" s="698"/>
      <c r="N89" s="192" t="s">
        <v>670</v>
      </c>
      <c r="O89" s="810">
        <f t="shared" si="33"/>
        <v>40962</v>
      </c>
      <c r="P89" s="810">
        <v>40965</v>
      </c>
      <c r="Q89" s="811" t="s">
        <v>1495</v>
      </c>
      <c r="R89" s="304">
        <v>0.5</v>
      </c>
      <c r="S89" s="842">
        <v>8555</v>
      </c>
      <c r="T89" s="25">
        <f t="shared" si="34"/>
        <v>4278</v>
      </c>
      <c r="U89" s="451"/>
      <c r="V89" s="810"/>
      <c r="W89" s="842"/>
      <c r="X89" s="842"/>
      <c r="Y89" s="25">
        <f t="shared" si="35"/>
        <v>0</v>
      </c>
    </row>
    <row r="90" spans="1:25">
      <c r="A90" s="847">
        <f t="shared" si="29"/>
        <v>85</v>
      </c>
      <c r="B90" s="297" t="s">
        <v>1504</v>
      </c>
      <c r="C90" s="25">
        <f t="shared" si="30"/>
        <v>1174020</v>
      </c>
      <c r="D90" s="797">
        <f t="shared" si="36"/>
        <v>122488.32094232272</v>
      </c>
      <c r="E90" s="797">
        <f t="shared" si="36"/>
        <v>13708.977877956118</v>
      </c>
      <c r="F90" s="797">
        <f t="shared" si="36"/>
        <v>74767.963935797001</v>
      </c>
      <c r="G90" s="797">
        <f t="shared" si="36"/>
        <v>55400.541690145961</v>
      </c>
      <c r="H90" s="797">
        <f t="shared" si="36"/>
        <v>13863.246378128806</v>
      </c>
      <c r="I90" s="25">
        <f t="shared" si="31"/>
        <v>1454249.0508243507</v>
      </c>
      <c r="J90" s="797">
        <v>167</v>
      </c>
      <c r="K90" s="797">
        <f t="shared" si="32"/>
        <v>8708.0781486488067</v>
      </c>
      <c r="L90" s="698"/>
      <c r="M90" s="698"/>
      <c r="N90" s="189" t="s">
        <v>1373</v>
      </c>
      <c r="O90" s="810">
        <f t="shared" si="33"/>
        <v>40962</v>
      </c>
      <c r="P90" s="810">
        <v>40965</v>
      </c>
      <c r="Q90" s="811" t="s">
        <v>1495</v>
      </c>
      <c r="R90" s="304">
        <v>60</v>
      </c>
      <c r="S90" s="842">
        <v>19567</v>
      </c>
      <c r="T90" s="25">
        <f t="shared" si="34"/>
        <v>1174020</v>
      </c>
      <c r="U90" s="451"/>
      <c r="V90" s="810"/>
      <c r="W90" s="842"/>
      <c r="X90" s="842"/>
      <c r="Y90" s="25">
        <f t="shared" si="35"/>
        <v>0</v>
      </c>
    </row>
    <row r="91" spans="1:25">
      <c r="A91" s="847">
        <f t="shared" si="29"/>
        <v>86</v>
      </c>
      <c r="B91" s="297" t="s">
        <v>1505</v>
      </c>
      <c r="C91" s="25">
        <f t="shared" si="30"/>
        <v>3068275</v>
      </c>
      <c r="D91" s="797">
        <f t="shared" si="36"/>
        <v>266980.53187428426</v>
      </c>
      <c r="E91" s="797">
        <f t="shared" si="36"/>
        <v>29880.64639267082</v>
      </c>
      <c r="F91" s="797">
        <f t="shared" si="36"/>
        <v>162967.29863850365</v>
      </c>
      <c r="G91" s="797">
        <f t="shared" si="36"/>
        <v>120753.27649828223</v>
      </c>
      <c r="H91" s="797">
        <f t="shared" si="36"/>
        <v>30216.896297238836</v>
      </c>
      <c r="I91" s="25">
        <f t="shared" si="31"/>
        <v>3679073.6497009797</v>
      </c>
      <c r="J91" s="797">
        <v>364</v>
      </c>
      <c r="K91" s="797">
        <f t="shared" si="32"/>
        <v>10107.345191486207</v>
      </c>
      <c r="L91" s="698"/>
      <c r="M91" s="698"/>
      <c r="N91" s="297" t="s">
        <v>1243</v>
      </c>
      <c r="O91" s="810">
        <f t="shared" si="33"/>
        <v>40962</v>
      </c>
      <c r="P91" s="810">
        <v>40965</v>
      </c>
      <c r="Q91" s="811" t="s">
        <v>1495</v>
      </c>
      <c r="R91" s="304">
        <v>175</v>
      </c>
      <c r="S91" s="842">
        <v>17533</v>
      </c>
      <c r="T91" s="25">
        <f t="shared" si="34"/>
        <v>3068275</v>
      </c>
      <c r="U91" s="451"/>
      <c r="V91" s="810"/>
      <c r="W91" s="842"/>
      <c r="X91" s="842"/>
      <c r="Y91" s="25">
        <f t="shared" si="35"/>
        <v>0</v>
      </c>
    </row>
    <row r="92" spans="1:25">
      <c r="A92" s="847">
        <f t="shared" si="29"/>
        <v>87</v>
      </c>
      <c r="B92" s="297" t="s">
        <v>1506</v>
      </c>
      <c r="C92" s="25">
        <f t="shared" si="30"/>
        <v>3924195</v>
      </c>
      <c r="D92" s="797">
        <f t="shared" si="36"/>
        <v>308054.45985494339</v>
      </c>
      <c r="E92" s="797">
        <f t="shared" si="36"/>
        <v>34477.668914620175</v>
      </c>
      <c r="F92" s="797">
        <f t="shared" si="36"/>
        <v>188039.19073673495</v>
      </c>
      <c r="G92" s="797">
        <f t="shared" si="36"/>
        <v>139330.70365186411</v>
      </c>
      <c r="H92" s="797">
        <f t="shared" si="36"/>
        <v>34865.649573737115</v>
      </c>
      <c r="I92" s="25">
        <f t="shared" si="31"/>
        <v>4628962.6727318997</v>
      </c>
      <c r="J92" s="797">
        <v>420</v>
      </c>
      <c r="K92" s="797">
        <f t="shared" si="32"/>
        <v>11021.339696980713</v>
      </c>
      <c r="L92" s="698"/>
      <c r="M92" s="698"/>
      <c r="N92" s="189" t="s">
        <v>1374</v>
      </c>
      <c r="O92" s="810">
        <f t="shared" si="33"/>
        <v>40962</v>
      </c>
      <c r="P92" s="810">
        <v>40965</v>
      </c>
      <c r="Q92" s="811" t="s">
        <v>1495</v>
      </c>
      <c r="R92" s="304">
        <v>165</v>
      </c>
      <c r="S92" s="842">
        <v>23783</v>
      </c>
      <c r="T92" s="25">
        <f t="shared" si="34"/>
        <v>3924195</v>
      </c>
      <c r="U92" s="451"/>
      <c r="V92" s="810"/>
      <c r="W92" s="842"/>
      <c r="X92" s="842"/>
      <c r="Y92" s="25">
        <f t="shared" si="35"/>
        <v>0</v>
      </c>
    </row>
    <row r="93" spans="1:25">
      <c r="A93" s="847">
        <f t="shared" si="29"/>
        <v>88</v>
      </c>
      <c r="B93" s="297" t="s">
        <v>1507</v>
      </c>
      <c r="C93" s="25">
        <f t="shared" si="30"/>
        <v>104244</v>
      </c>
      <c r="D93" s="797">
        <f t="shared" si="36"/>
        <v>5867.7039972370167</v>
      </c>
      <c r="E93" s="797">
        <f t="shared" si="36"/>
        <v>656.71750313562245</v>
      </c>
      <c r="F93" s="797">
        <f t="shared" si="36"/>
        <v>3581.6988711759041</v>
      </c>
      <c r="G93" s="797">
        <f t="shared" si="36"/>
        <v>2653.9181647974115</v>
      </c>
      <c r="H93" s="797">
        <f t="shared" si="36"/>
        <v>664.10761092832604</v>
      </c>
      <c r="I93" s="25">
        <f t="shared" si="31"/>
        <v>117668.14614727428</v>
      </c>
      <c r="J93" s="797">
        <v>8</v>
      </c>
      <c r="K93" s="797">
        <f t="shared" si="32"/>
        <v>14708.518268409285</v>
      </c>
      <c r="L93" s="698"/>
      <c r="M93" s="698"/>
      <c r="N93" s="192" t="s">
        <v>1240</v>
      </c>
      <c r="O93" s="810">
        <f t="shared" si="33"/>
        <v>40962</v>
      </c>
      <c r="P93" s="810">
        <v>40965</v>
      </c>
      <c r="Q93" s="811" t="s">
        <v>1495</v>
      </c>
      <c r="R93" s="304">
        <v>6</v>
      </c>
      <c r="S93" s="842">
        <v>17374</v>
      </c>
      <c r="T93" s="25">
        <f t="shared" si="34"/>
        <v>104244</v>
      </c>
      <c r="U93" s="451"/>
      <c r="V93" s="810"/>
      <c r="W93" s="842"/>
      <c r="X93" s="842"/>
      <c r="Y93" s="25">
        <f t="shared" si="35"/>
        <v>0</v>
      </c>
    </row>
    <row r="94" spans="1:25">
      <c r="A94" s="847">
        <f t="shared" si="29"/>
        <v>89</v>
      </c>
      <c r="B94" s="297" t="s">
        <v>1508</v>
      </c>
      <c r="C94" s="25">
        <f t="shared" si="30"/>
        <v>85550</v>
      </c>
      <c r="D94" s="797">
        <f t="shared" si="36"/>
        <v>7334.6299965462713</v>
      </c>
      <c r="E94" s="797">
        <f t="shared" si="36"/>
        <v>820.89687891952804</v>
      </c>
      <c r="F94" s="797">
        <f t="shared" si="36"/>
        <v>4477.1235889698801</v>
      </c>
      <c r="G94" s="797">
        <f t="shared" si="36"/>
        <v>3317.3977059967642</v>
      </c>
      <c r="H94" s="797">
        <f t="shared" si="36"/>
        <v>830.13451366040749</v>
      </c>
      <c r="I94" s="25">
        <f t="shared" si="31"/>
        <v>102330.18268409286</v>
      </c>
      <c r="J94" s="797">
        <v>10</v>
      </c>
      <c r="K94" s="797">
        <f t="shared" si="32"/>
        <v>10233.018268409285</v>
      </c>
      <c r="L94" s="698"/>
      <c r="M94" s="698"/>
      <c r="N94" s="192" t="s">
        <v>670</v>
      </c>
      <c r="O94" s="810">
        <f t="shared" si="33"/>
        <v>40962</v>
      </c>
      <c r="P94" s="810">
        <v>40965</v>
      </c>
      <c r="Q94" s="811" t="s">
        <v>1495</v>
      </c>
      <c r="R94" s="304">
        <f>J94</f>
        <v>10</v>
      </c>
      <c r="S94" s="842">
        <v>8555</v>
      </c>
      <c r="T94" s="25">
        <f t="shared" si="34"/>
        <v>85550</v>
      </c>
      <c r="U94" s="451"/>
      <c r="V94" s="810"/>
      <c r="W94" s="842"/>
      <c r="X94" s="842"/>
      <c r="Y94" s="25">
        <f t="shared" si="35"/>
        <v>0</v>
      </c>
    </row>
    <row r="95" spans="1:25">
      <c r="A95" s="847">
        <f t="shared" si="29"/>
        <v>90</v>
      </c>
      <c r="B95" s="297" t="s">
        <v>1509</v>
      </c>
      <c r="C95" s="25">
        <f t="shared" si="30"/>
        <v>190040</v>
      </c>
      <c r="D95" s="797">
        <f t="shared" si="36"/>
        <v>12468.87099412866</v>
      </c>
      <c r="E95" s="797">
        <f t="shared" si="36"/>
        <v>1395.5246941631976</v>
      </c>
      <c r="F95" s="797">
        <f t="shared" si="36"/>
        <v>7611.1101012487961</v>
      </c>
      <c r="G95" s="797">
        <f t="shared" si="36"/>
        <v>5639.5761001944993</v>
      </c>
      <c r="H95" s="797">
        <f t="shared" si="36"/>
        <v>1411.2286732226928</v>
      </c>
      <c r="I95" s="25">
        <f t="shared" si="31"/>
        <v>218566.31056295786</v>
      </c>
      <c r="J95" s="797">
        <v>17</v>
      </c>
      <c r="K95" s="797">
        <f t="shared" si="32"/>
        <v>12856.841797821051</v>
      </c>
      <c r="L95" s="698"/>
      <c r="M95" s="698"/>
      <c r="N95" s="189" t="s">
        <v>1256</v>
      </c>
      <c r="O95" s="810">
        <f t="shared" si="33"/>
        <v>40962</v>
      </c>
      <c r="P95" s="810">
        <v>40965</v>
      </c>
      <c r="Q95" s="811" t="s">
        <v>1495</v>
      </c>
      <c r="R95" s="304">
        <v>10</v>
      </c>
      <c r="S95" s="842">
        <v>19004</v>
      </c>
      <c r="T95" s="25">
        <f t="shared" si="34"/>
        <v>190040</v>
      </c>
      <c r="U95" s="451"/>
      <c r="V95" s="810"/>
      <c r="W95" s="842"/>
      <c r="X95" s="842"/>
      <c r="Y95" s="25">
        <f t="shared" si="35"/>
        <v>0</v>
      </c>
    </row>
    <row r="96" spans="1:25">
      <c r="A96" s="847">
        <f t="shared" si="29"/>
        <v>91</v>
      </c>
      <c r="B96" s="297" t="s">
        <v>1510</v>
      </c>
      <c r="C96" s="25">
        <f t="shared" si="30"/>
        <v>684845</v>
      </c>
      <c r="D96" s="797">
        <f t="shared" ref="D96:H105" si="37">IF($J$192&lt;&gt;0,D$192/$J$192*$J96,0)</f>
        <v>44741.242978932249</v>
      </c>
      <c r="E96" s="797">
        <f t="shared" si="37"/>
        <v>5007.4709614091216</v>
      </c>
      <c r="F96" s="797">
        <f t="shared" si="37"/>
        <v>27310.453892716268</v>
      </c>
      <c r="G96" s="797">
        <f t="shared" si="37"/>
        <v>20236.126006580263</v>
      </c>
      <c r="H96" s="797">
        <f t="shared" si="37"/>
        <v>5063.8205333284859</v>
      </c>
      <c r="I96" s="25">
        <f t="shared" si="31"/>
        <v>787204.11437296646</v>
      </c>
      <c r="J96" s="797">
        <v>61</v>
      </c>
      <c r="K96" s="797">
        <f t="shared" si="32"/>
        <v>12904.98548152404</v>
      </c>
      <c r="L96" s="698"/>
      <c r="M96" s="698"/>
      <c r="N96" s="189" t="s">
        <v>1373</v>
      </c>
      <c r="O96" s="810">
        <f t="shared" si="33"/>
        <v>40962</v>
      </c>
      <c r="P96" s="810">
        <v>40965</v>
      </c>
      <c r="Q96" s="811" t="s">
        <v>1495</v>
      </c>
      <c r="R96" s="304">
        <v>35</v>
      </c>
      <c r="S96" s="842">
        <v>19567</v>
      </c>
      <c r="T96" s="25">
        <f t="shared" si="34"/>
        <v>684845</v>
      </c>
      <c r="U96" s="451"/>
      <c r="V96" s="810"/>
      <c r="W96" s="842"/>
      <c r="X96" s="842"/>
      <c r="Y96" s="25">
        <f t="shared" si="35"/>
        <v>0</v>
      </c>
    </row>
    <row r="97" spans="1:25">
      <c r="A97" s="847">
        <f t="shared" si="29"/>
        <v>92</v>
      </c>
      <c r="B97" s="297" t="s">
        <v>1511</v>
      </c>
      <c r="C97" s="25">
        <f t="shared" si="30"/>
        <v>111215</v>
      </c>
      <c r="D97" s="797">
        <f t="shared" si="37"/>
        <v>16136.185992401795</v>
      </c>
      <c r="E97" s="797">
        <f t="shared" si="37"/>
        <v>1805.9731336229618</v>
      </c>
      <c r="F97" s="797">
        <f t="shared" si="37"/>
        <v>9849.6718957337362</v>
      </c>
      <c r="G97" s="797">
        <f t="shared" si="37"/>
        <v>7298.2749531928812</v>
      </c>
      <c r="H97" s="797">
        <f t="shared" si="37"/>
        <v>1826.2959300528967</v>
      </c>
      <c r="I97" s="25">
        <f t="shared" si="31"/>
        <v>148131.40190500428</v>
      </c>
      <c r="J97" s="797">
        <v>22</v>
      </c>
      <c r="K97" s="797">
        <f t="shared" si="32"/>
        <v>6733.2455411365581</v>
      </c>
      <c r="L97" s="698"/>
      <c r="M97" s="698"/>
      <c r="N97" s="192" t="s">
        <v>670</v>
      </c>
      <c r="O97" s="810">
        <f t="shared" si="33"/>
        <v>40962</v>
      </c>
      <c r="P97" s="810">
        <v>40965</v>
      </c>
      <c r="Q97" s="811" t="s">
        <v>1495</v>
      </c>
      <c r="R97" s="304">
        <v>13</v>
      </c>
      <c r="S97" s="842">
        <v>8555</v>
      </c>
      <c r="T97" s="25">
        <f t="shared" si="34"/>
        <v>111215</v>
      </c>
      <c r="U97" s="451"/>
      <c r="V97" s="810"/>
      <c r="W97" s="842"/>
      <c r="X97" s="842"/>
      <c r="Y97" s="25">
        <f t="shared" si="35"/>
        <v>0</v>
      </c>
    </row>
    <row r="98" spans="1:25">
      <c r="A98" s="847">
        <f t="shared" si="29"/>
        <v>93</v>
      </c>
      <c r="B98" s="297" t="s">
        <v>1512</v>
      </c>
      <c r="C98" s="25">
        <f t="shared" si="30"/>
        <v>320180</v>
      </c>
      <c r="D98" s="797">
        <f t="shared" si="37"/>
        <v>36673.149982731353</v>
      </c>
      <c r="E98" s="797">
        <f t="shared" si="37"/>
        <v>4104.4843945976399</v>
      </c>
      <c r="F98" s="797">
        <f t="shared" si="37"/>
        <v>22385.6179448494</v>
      </c>
      <c r="G98" s="797">
        <f t="shared" si="37"/>
        <v>16586.988529983821</v>
      </c>
      <c r="H98" s="797">
        <f t="shared" si="37"/>
        <v>4150.6725683020377</v>
      </c>
      <c r="I98" s="25">
        <f t="shared" si="31"/>
        <v>404080.91342046426</v>
      </c>
      <c r="J98" s="797">
        <v>50</v>
      </c>
      <c r="K98" s="797">
        <f t="shared" si="32"/>
        <v>8081.6182684092855</v>
      </c>
      <c r="L98" s="698"/>
      <c r="M98" s="698"/>
      <c r="N98" s="189" t="s">
        <v>1246</v>
      </c>
      <c r="O98" s="810">
        <f t="shared" si="33"/>
        <v>40962</v>
      </c>
      <c r="P98" s="810">
        <v>40965</v>
      </c>
      <c r="Q98" s="811" t="s">
        <v>1495</v>
      </c>
      <c r="R98" s="304">
        <v>28</v>
      </c>
      <c r="S98" s="842">
        <v>11435</v>
      </c>
      <c r="T98" s="25">
        <f t="shared" si="34"/>
        <v>320180</v>
      </c>
      <c r="U98" s="451"/>
      <c r="V98" s="810"/>
      <c r="W98" s="842"/>
      <c r="X98" s="842"/>
      <c r="Y98" s="25">
        <f t="shared" si="35"/>
        <v>0</v>
      </c>
    </row>
    <row r="99" spans="1:25">
      <c r="A99" s="847">
        <f t="shared" si="29"/>
        <v>94</v>
      </c>
      <c r="B99" s="297" t="s">
        <v>1513</v>
      </c>
      <c r="C99" s="25">
        <f t="shared" si="30"/>
        <v>285068</v>
      </c>
      <c r="D99" s="797">
        <f t="shared" si="37"/>
        <v>13935.796993437914</v>
      </c>
      <c r="E99" s="797">
        <f t="shared" si="37"/>
        <v>1559.7040699471033</v>
      </c>
      <c r="F99" s="797">
        <f t="shared" si="37"/>
        <v>8506.5348190427721</v>
      </c>
      <c r="G99" s="797">
        <f t="shared" si="37"/>
        <v>6303.0556413938521</v>
      </c>
      <c r="H99" s="797">
        <f t="shared" si="37"/>
        <v>1577.2555759547743</v>
      </c>
      <c r="I99" s="25">
        <f t="shared" si="31"/>
        <v>316950.3470997765</v>
      </c>
      <c r="J99" s="797">
        <v>19</v>
      </c>
      <c r="K99" s="797">
        <f t="shared" si="32"/>
        <v>16681.597215777711</v>
      </c>
      <c r="L99" s="698"/>
      <c r="M99" s="698"/>
      <c r="N99" s="189" t="s">
        <v>1371</v>
      </c>
      <c r="O99" s="810">
        <f t="shared" si="33"/>
        <v>40962</v>
      </c>
      <c r="P99" s="810">
        <v>40965</v>
      </c>
      <c r="Q99" s="811" t="s">
        <v>1495</v>
      </c>
      <c r="R99" s="304">
        <v>14</v>
      </c>
      <c r="S99" s="842">
        <v>20362</v>
      </c>
      <c r="T99" s="25">
        <f t="shared" si="34"/>
        <v>285068</v>
      </c>
      <c r="U99" s="451"/>
      <c r="V99" s="810"/>
      <c r="W99" s="842"/>
      <c r="X99" s="842"/>
      <c r="Y99" s="25">
        <f t="shared" si="35"/>
        <v>0</v>
      </c>
    </row>
    <row r="100" spans="1:25">
      <c r="A100" s="847">
        <f t="shared" si="29"/>
        <v>95</v>
      </c>
      <c r="B100" s="297" t="s">
        <v>1514</v>
      </c>
      <c r="C100" s="25">
        <f t="shared" si="30"/>
        <v>29943</v>
      </c>
      <c r="D100" s="797">
        <f t="shared" si="37"/>
        <v>2200.388998963881</v>
      </c>
      <c r="E100" s="797">
        <f t="shared" si="37"/>
        <v>246.26906367585843</v>
      </c>
      <c r="F100" s="797">
        <f t="shared" si="37"/>
        <v>1343.137076690964</v>
      </c>
      <c r="G100" s="797">
        <f t="shared" si="37"/>
        <v>995.21931179902936</v>
      </c>
      <c r="H100" s="797">
        <f t="shared" si="37"/>
        <v>249.04035409812226</v>
      </c>
      <c r="I100" s="25">
        <f t="shared" si="31"/>
        <v>34977.054805227854</v>
      </c>
      <c r="J100" s="797">
        <v>3</v>
      </c>
      <c r="K100" s="797">
        <f t="shared" si="32"/>
        <v>11659.018268409285</v>
      </c>
      <c r="L100" s="698"/>
      <c r="M100" s="698"/>
      <c r="N100" s="192" t="s">
        <v>670</v>
      </c>
      <c r="O100" s="810">
        <f t="shared" si="33"/>
        <v>40962</v>
      </c>
      <c r="P100" s="810">
        <v>40965</v>
      </c>
      <c r="Q100" s="811" t="s">
        <v>1495</v>
      </c>
      <c r="R100" s="304">
        <v>3.5</v>
      </c>
      <c r="S100" s="842">
        <v>8555</v>
      </c>
      <c r="T100" s="25">
        <f t="shared" si="34"/>
        <v>29943</v>
      </c>
      <c r="U100" s="451"/>
      <c r="V100" s="810"/>
      <c r="W100" s="842"/>
      <c r="X100" s="842"/>
      <c r="Y100" s="25">
        <f t="shared" si="35"/>
        <v>0</v>
      </c>
    </row>
    <row r="101" spans="1:25">
      <c r="A101" s="847">
        <f t="shared" si="29"/>
        <v>96</v>
      </c>
      <c r="B101" s="297" t="s">
        <v>1498</v>
      </c>
      <c r="C101" s="25">
        <f t="shared" si="30"/>
        <v>21388</v>
      </c>
      <c r="D101" s="797">
        <f t="shared" si="37"/>
        <v>1466.9259993092542</v>
      </c>
      <c r="E101" s="797">
        <f t="shared" si="37"/>
        <v>164.17937578390561</v>
      </c>
      <c r="F101" s="797">
        <f t="shared" si="37"/>
        <v>895.42471779397601</v>
      </c>
      <c r="G101" s="797">
        <f t="shared" si="37"/>
        <v>663.47954119935287</v>
      </c>
      <c r="H101" s="797">
        <f t="shared" si="37"/>
        <v>166.02690273208151</v>
      </c>
      <c r="I101" s="25">
        <f t="shared" si="31"/>
        <v>24744.03653681857</v>
      </c>
      <c r="J101" s="797">
        <v>2</v>
      </c>
      <c r="K101" s="797">
        <f t="shared" si="32"/>
        <v>12372.018268409285</v>
      </c>
      <c r="L101" s="698"/>
      <c r="M101" s="698"/>
      <c r="N101" s="192" t="s">
        <v>670</v>
      </c>
      <c r="O101" s="810">
        <f t="shared" si="33"/>
        <v>40962</v>
      </c>
      <c r="P101" s="810">
        <v>40965</v>
      </c>
      <c r="Q101" s="811" t="s">
        <v>1495</v>
      </c>
      <c r="R101" s="304">
        <v>2.5</v>
      </c>
      <c r="S101" s="842">
        <v>8555</v>
      </c>
      <c r="T101" s="25">
        <f t="shared" si="34"/>
        <v>21388</v>
      </c>
      <c r="U101" s="451"/>
      <c r="V101" s="810"/>
      <c r="W101" s="842"/>
      <c r="X101" s="842"/>
      <c r="Y101" s="25">
        <f t="shared" si="35"/>
        <v>0</v>
      </c>
    </row>
    <row r="102" spans="1:25">
      <c r="A102" s="847">
        <f t="shared" si="29"/>
        <v>97</v>
      </c>
      <c r="B102" s="297" t="s">
        <v>1509</v>
      </c>
      <c r="C102" s="25">
        <f t="shared" si="30"/>
        <v>34748</v>
      </c>
      <c r="D102" s="797">
        <f t="shared" si="37"/>
        <v>1466.9259993092542</v>
      </c>
      <c r="E102" s="797">
        <f t="shared" si="37"/>
        <v>164.17937578390561</v>
      </c>
      <c r="F102" s="797">
        <f t="shared" si="37"/>
        <v>895.42471779397601</v>
      </c>
      <c r="G102" s="797">
        <f t="shared" si="37"/>
        <v>663.47954119935287</v>
      </c>
      <c r="H102" s="797">
        <f t="shared" si="37"/>
        <v>166.02690273208151</v>
      </c>
      <c r="I102" s="25">
        <f t="shared" si="31"/>
        <v>38104.036536818574</v>
      </c>
      <c r="J102" s="797">
        <v>2</v>
      </c>
      <c r="K102" s="797">
        <f t="shared" si="32"/>
        <v>19052.018268409287</v>
      </c>
      <c r="L102" s="698"/>
      <c r="M102" s="698"/>
      <c r="N102" s="192" t="s">
        <v>1240</v>
      </c>
      <c r="O102" s="810">
        <f t="shared" si="33"/>
        <v>40962</v>
      </c>
      <c r="P102" s="810">
        <v>40965</v>
      </c>
      <c r="Q102" s="811" t="s">
        <v>1495</v>
      </c>
      <c r="R102" s="304">
        <v>2</v>
      </c>
      <c r="S102" s="842">
        <v>17374</v>
      </c>
      <c r="T102" s="25">
        <f t="shared" si="34"/>
        <v>34748</v>
      </c>
      <c r="U102" s="451"/>
      <c r="V102" s="810"/>
      <c r="W102" s="842"/>
      <c r="X102" s="842"/>
      <c r="Y102" s="25">
        <f t="shared" si="35"/>
        <v>0</v>
      </c>
    </row>
    <row r="103" spans="1:25">
      <c r="A103" s="847">
        <f t="shared" si="29"/>
        <v>98</v>
      </c>
      <c r="B103" s="297" t="s">
        <v>1515</v>
      </c>
      <c r="C103" s="25">
        <f t="shared" si="30"/>
        <v>8555</v>
      </c>
      <c r="D103" s="797">
        <f t="shared" si="37"/>
        <v>733.46299965462708</v>
      </c>
      <c r="E103" s="797">
        <f t="shared" si="37"/>
        <v>82.089687891952806</v>
      </c>
      <c r="F103" s="797">
        <f t="shared" si="37"/>
        <v>447.71235889698801</v>
      </c>
      <c r="G103" s="797">
        <f t="shared" si="37"/>
        <v>331.73977059967643</v>
      </c>
      <c r="H103" s="797">
        <f t="shared" si="37"/>
        <v>83.013451366040755</v>
      </c>
      <c r="I103" s="25">
        <f t="shared" si="31"/>
        <v>10233.018268409285</v>
      </c>
      <c r="J103" s="797">
        <v>1</v>
      </c>
      <c r="K103" s="797">
        <f t="shared" si="32"/>
        <v>10233.018268409285</v>
      </c>
      <c r="L103" s="698"/>
      <c r="M103" s="698"/>
      <c r="N103" s="192" t="s">
        <v>670</v>
      </c>
      <c r="O103" s="810">
        <f t="shared" si="33"/>
        <v>40962</v>
      </c>
      <c r="P103" s="810">
        <v>40965</v>
      </c>
      <c r="Q103" s="811" t="s">
        <v>1495</v>
      </c>
      <c r="R103" s="304">
        <v>1</v>
      </c>
      <c r="S103" s="842">
        <v>8555</v>
      </c>
      <c r="T103" s="25">
        <f t="shared" si="34"/>
        <v>8555</v>
      </c>
      <c r="U103" s="451"/>
      <c r="V103" s="810"/>
      <c r="W103" s="842"/>
      <c r="X103" s="842"/>
      <c r="Y103" s="25">
        <f t="shared" si="35"/>
        <v>0</v>
      </c>
    </row>
    <row r="104" spans="1:25">
      <c r="A104" s="847">
        <f t="shared" si="29"/>
        <v>99</v>
      </c>
      <c r="B104" s="297" t="s">
        <v>1516</v>
      </c>
      <c r="C104" s="25">
        <f t="shared" si="30"/>
        <v>61540</v>
      </c>
      <c r="D104" s="797">
        <f t="shared" si="37"/>
        <v>2933.8519986185083</v>
      </c>
      <c r="E104" s="797">
        <f t="shared" si="37"/>
        <v>328.35875156781123</v>
      </c>
      <c r="F104" s="797">
        <f t="shared" si="37"/>
        <v>1790.849435587952</v>
      </c>
      <c r="G104" s="797">
        <f t="shared" si="37"/>
        <v>1326.9590823987057</v>
      </c>
      <c r="H104" s="797">
        <f t="shared" si="37"/>
        <v>332.05380546416302</v>
      </c>
      <c r="I104" s="25">
        <f t="shared" si="31"/>
        <v>68252.073073637133</v>
      </c>
      <c r="J104" s="797">
        <v>4</v>
      </c>
      <c r="K104" s="797">
        <f t="shared" si="32"/>
        <v>17063.018268409283</v>
      </c>
      <c r="L104" s="698"/>
      <c r="M104" s="698"/>
      <c r="N104" s="189" t="s">
        <v>617</v>
      </c>
      <c r="O104" s="810">
        <f t="shared" si="33"/>
        <v>40962</v>
      </c>
      <c r="P104" s="810">
        <v>40965</v>
      </c>
      <c r="Q104" s="811" t="s">
        <v>1495</v>
      </c>
      <c r="R104" s="304">
        <f t="shared" ref="R104:R106" si="38">J104</f>
        <v>4</v>
      </c>
      <c r="S104" s="842">
        <v>15385</v>
      </c>
      <c r="T104" s="25">
        <f t="shared" si="34"/>
        <v>61540</v>
      </c>
      <c r="U104" s="451"/>
      <c r="V104" s="810"/>
      <c r="W104" s="842"/>
      <c r="X104" s="842"/>
      <c r="Y104" s="25">
        <f t="shared" si="35"/>
        <v>0</v>
      </c>
    </row>
    <row r="105" spans="1:25">
      <c r="A105" s="847">
        <f t="shared" si="29"/>
        <v>100</v>
      </c>
      <c r="B105" s="297" t="s">
        <v>1517</v>
      </c>
      <c r="C105" s="25">
        <f t="shared" si="30"/>
        <v>61540</v>
      </c>
      <c r="D105" s="797">
        <f t="shared" si="37"/>
        <v>2933.8519986185083</v>
      </c>
      <c r="E105" s="797">
        <f t="shared" si="37"/>
        <v>328.35875156781123</v>
      </c>
      <c r="F105" s="797">
        <f t="shared" si="37"/>
        <v>1790.849435587952</v>
      </c>
      <c r="G105" s="797">
        <f t="shared" si="37"/>
        <v>1326.9590823987057</v>
      </c>
      <c r="H105" s="797">
        <f t="shared" si="37"/>
        <v>332.05380546416302</v>
      </c>
      <c r="I105" s="25">
        <f t="shared" si="31"/>
        <v>68252.073073637133</v>
      </c>
      <c r="J105" s="797">
        <v>4</v>
      </c>
      <c r="K105" s="797">
        <f t="shared" si="32"/>
        <v>17063.018268409283</v>
      </c>
      <c r="L105" s="698"/>
      <c r="M105" s="698"/>
      <c r="N105" s="189" t="s">
        <v>617</v>
      </c>
      <c r="O105" s="810">
        <f t="shared" si="33"/>
        <v>40962</v>
      </c>
      <c r="P105" s="810">
        <v>40965</v>
      </c>
      <c r="Q105" s="811" t="s">
        <v>1495</v>
      </c>
      <c r="R105" s="304">
        <f t="shared" si="38"/>
        <v>4</v>
      </c>
      <c r="S105" s="842">
        <v>15385</v>
      </c>
      <c r="T105" s="25">
        <f t="shared" si="34"/>
        <v>61540</v>
      </c>
      <c r="U105" s="451"/>
      <c r="V105" s="810"/>
      <c r="W105" s="842"/>
      <c r="X105" s="842"/>
      <c r="Y105" s="25">
        <f t="shared" si="35"/>
        <v>0</v>
      </c>
    </row>
    <row r="106" spans="1:25">
      <c r="A106" s="847">
        <f t="shared" si="29"/>
        <v>101</v>
      </c>
      <c r="B106" s="297" t="s">
        <v>1518</v>
      </c>
      <c r="C106" s="25">
        <f t="shared" si="30"/>
        <v>153850</v>
      </c>
      <c r="D106" s="797">
        <f t="shared" ref="D106:H115" si="39">IF($J$192&lt;&gt;0,D$192/$J$192*$J106,0)</f>
        <v>7334.6299965462713</v>
      </c>
      <c r="E106" s="797">
        <f t="shared" si="39"/>
        <v>820.89687891952804</v>
      </c>
      <c r="F106" s="797">
        <f t="shared" si="39"/>
        <v>4477.1235889698801</v>
      </c>
      <c r="G106" s="797">
        <f t="shared" si="39"/>
        <v>3317.3977059967642</v>
      </c>
      <c r="H106" s="797">
        <f t="shared" si="39"/>
        <v>830.13451366040749</v>
      </c>
      <c r="I106" s="25">
        <f t="shared" si="31"/>
        <v>170630.18268409287</v>
      </c>
      <c r="J106" s="797">
        <v>10</v>
      </c>
      <c r="K106" s="797">
        <f t="shared" si="32"/>
        <v>17063.018268409287</v>
      </c>
      <c r="L106" s="698"/>
      <c r="M106" s="698"/>
      <c r="N106" s="189" t="s">
        <v>617</v>
      </c>
      <c r="O106" s="810">
        <f t="shared" si="33"/>
        <v>40962</v>
      </c>
      <c r="P106" s="810">
        <v>40965</v>
      </c>
      <c r="Q106" s="811" t="s">
        <v>1495</v>
      </c>
      <c r="R106" s="304">
        <f t="shared" si="38"/>
        <v>10</v>
      </c>
      <c r="S106" s="842">
        <v>15385</v>
      </c>
      <c r="T106" s="25">
        <f t="shared" si="34"/>
        <v>153850</v>
      </c>
      <c r="U106" s="451"/>
      <c r="V106" s="810"/>
      <c r="W106" s="842"/>
      <c r="X106" s="842"/>
      <c r="Y106" s="25">
        <f t="shared" si="35"/>
        <v>0</v>
      </c>
    </row>
    <row r="107" spans="1:25">
      <c r="A107" s="847">
        <f t="shared" si="29"/>
        <v>102</v>
      </c>
      <c r="B107" s="297" t="s">
        <v>1519</v>
      </c>
      <c r="C107" s="25">
        <f t="shared" si="30"/>
        <v>7705260</v>
      </c>
      <c r="D107" s="797">
        <f t="shared" si="39"/>
        <v>372599.20382455055</v>
      </c>
      <c r="E107" s="797">
        <f t="shared" si="39"/>
        <v>41701.561449112029</v>
      </c>
      <c r="F107" s="797">
        <f t="shared" si="39"/>
        <v>227437.87831966992</v>
      </c>
      <c r="G107" s="797">
        <f t="shared" si="39"/>
        <v>168523.80346463562</v>
      </c>
      <c r="H107" s="797">
        <f t="shared" si="39"/>
        <v>42170.833293948701</v>
      </c>
      <c r="I107" s="25">
        <f t="shared" si="31"/>
        <v>8557693.2803519163</v>
      </c>
      <c r="J107" s="797">
        <v>508</v>
      </c>
      <c r="K107" s="797">
        <f t="shared" si="32"/>
        <v>16845.852914078576</v>
      </c>
      <c r="L107" s="698"/>
      <c r="M107" s="698"/>
      <c r="N107" s="192" t="s">
        <v>663</v>
      </c>
      <c r="O107" s="810">
        <f t="shared" si="33"/>
        <v>40962</v>
      </c>
      <c r="P107" s="810">
        <v>40965</v>
      </c>
      <c r="Q107" s="811" t="s">
        <v>1495</v>
      </c>
      <c r="R107" s="304">
        <v>270</v>
      </c>
      <c r="S107" s="842">
        <v>28538</v>
      </c>
      <c r="T107" s="25">
        <f t="shared" si="34"/>
        <v>7705260</v>
      </c>
      <c r="U107" s="451"/>
      <c r="V107" s="810"/>
      <c r="W107" s="842"/>
      <c r="X107" s="842"/>
      <c r="Y107" s="25">
        <f t="shared" si="35"/>
        <v>0</v>
      </c>
    </row>
    <row r="108" spans="1:25">
      <c r="A108" s="847">
        <f t="shared" si="29"/>
        <v>103</v>
      </c>
      <c r="B108" s="297" t="s">
        <v>934</v>
      </c>
      <c r="C108" s="25">
        <f t="shared" si="30"/>
        <v>1899840</v>
      </c>
      <c r="D108" s="797">
        <f t="shared" si="39"/>
        <v>381400.75982040609</v>
      </c>
      <c r="E108" s="797">
        <f t="shared" si="39"/>
        <v>42686.637703815461</v>
      </c>
      <c r="F108" s="797">
        <f t="shared" si="39"/>
        <v>232810.42662643376</v>
      </c>
      <c r="G108" s="797">
        <f t="shared" si="39"/>
        <v>172504.68071183175</v>
      </c>
      <c r="H108" s="797">
        <f t="shared" si="39"/>
        <v>43166.994710341191</v>
      </c>
      <c r="I108" s="25">
        <f t="shared" si="31"/>
        <v>2772409.4995728284</v>
      </c>
      <c r="J108" s="797">
        <v>520</v>
      </c>
      <c r="K108" s="797">
        <f t="shared" si="32"/>
        <v>5331.556729947747</v>
      </c>
      <c r="L108" s="698"/>
      <c r="M108" s="698"/>
      <c r="N108" s="189" t="s">
        <v>645</v>
      </c>
      <c r="O108" s="810">
        <f t="shared" si="33"/>
        <v>40962</v>
      </c>
      <c r="P108" s="810">
        <v>40965</v>
      </c>
      <c r="Q108" s="811" t="s">
        <v>1495</v>
      </c>
      <c r="R108" s="304">
        <v>80</v>
      </c>
      <c r="S108" s="842">
        <v>23748</v>
      </c>
      <c r="T108" s="25">
        <f t="shared" si="34"/>
        <v>1899840</v>
      </c>
      <c r="U108" s="451"/>
      <c r="V108" s="810"/>
      <c r="W108" s="842"/>
      <c r="X108" s="842"/>
      <c r="Y108" s="25">
        <f t="shared" si="35"/>
        <v>0</v>
      </c>
    </row>
    <row r="109" spans="1:25">
      <c r="A109" s="847">
        <f t="shared" si="29"/>
        <v>104</v>
      </c>
      <c r="B109" s="297" t="s">
        <v>1520</v>
      </c>
      <c r="C109" s="25">
        <f t="shared" si="30"/>
        <v>30770</v>
      </c>
      <c r="D109" s="797">
        <f t="shared" si="39"/>
        <v>1466.9259993092542</v>
      </c>
      <c r="E109" s="797">
        <f t="shared" si="39"/>
        <v>164.17937578390561</v>
      </c>
      <c r="F109" s="797">
        <f t="shared" si="39"/>
        <v>895.42471779397601</v>
      </c>
      <c r="G109" s="797">
        <f t="shared" si="39"/>
        <v>663.47954119935287</v>
      </c>
      <c r="H109" s="797">
        <f t="shared" si="39"/>
        <v>166.02690273208151</v>
      </c>
      <c r="I109" s="25">
        <f t="shared" si="31"/>
        <v>34126.036536818567</v>
      </c>
      <c r="J109" s="797">
        <v>2</v>
      </c>
      <c r="K109" s="797">
        <f t="shared" si="32"/>
        <v>17063.018268409283</v>
      </c>
      <c r="L109" s="698"/>
      <c r="M109" s="698"/>
      <c r="N109" s="189" t="s">
        <v>617</v>
      </c>
      <c r="O109" s="810">
        <f t="shared" si="33"/>
        <v>40962</v>
      </c>
      <c r="P109" s="810">
        <v>40965</v>
      </c>
      <c r="Q109" s="811" t="s">
        <v>1495</v>
      </c>
      <c r="R109" s="304">
        <f t="shared" ref="R109:R110" si="40">J109</f>
        <v>2</v>
      </c>
      <c r="S109" s="842">
        <v>15385</v>
      </c>
      <c r="T109" s="25">
        <f t="shared" si="34"/>
        <v>30770</v>
      </c>
      <c r="U109" s="451"/>
      <c r="V109" s="810"/>
      <c r="W109" s="842"/>
      <c r="X109" s="842"/>
      <c r="Y109" s="25">
        <f t="shared" si="35"/>
        <v>0</v>
      </c>
    </row>
    <row r="110" spans="1:25">
      <c r="A110" s="847">
        <f t="shared" si="29"/>
        <v>105</v>
      </c>
      <c r="B110" s="297" t="s">
        <v>1531</v>
      </c>
      <c r="C110" s="25">
        <f t="shared" si="30"/>
        <v>138465</v>
      </c>
      <c r="D110" s="797">
        <f t="shared" si="39"/>
        <v>6601.166996891644</v>
      </c>
      <c r="E110" s="797">
        <f t="shared" si="39"/>
        <v>738.8071910275753</v>
      </c>
      <c r="F110" s="797">
        <f t="shared" si="39"/>
        <v>4029.4112300728921</v>
      </c>
      <c r="G110" s="797">
        <f t="shared" si="39"/>
        <v>2985.6579353970878</v>
      </c>
      <c r="H110" s="797">
        <f t="shared" si="39"/>
        <v>747.12106229436677</v>
      </c>
      <c r="I110" s="25">
        <f t="shared" si="31"/>
        <v>153567.16441568357</v>
      </c>
      <c r="J110" s="797">
        <v>9</v>
      </c>
      <c r="K110" s="797">
        <f t="shared" si="32"/>
        <v>17063.018268409287</v>
      </c>
      <c r="L110" s="698"/>
      <c r="M110" s="698"/>
      <c r="N110" s="189" t="s">
        <v>617</v>
      </c>
      <c r="O110" s="810">
        <f t="shared" si="33"/>
        <v>40965</v>
      </c>
      <c r="P110" s="810">
        <v>40968</v>
      </c>
      <c r="Q110" s="811" t="s">
        <v>1521</v>
      </c>
      <c r="R110" s="304">
        <f t="shared" si="40"/>
        <v>9</v>
      </c>
      <c r="S110" s="842">
        <v>15385</v>
      </c>
      <c r="T110" s="25">
        <f t="shared" si="34"/>
        <v>138465</v>
      </c>
      <c r="U110" s="451"/>
      <c r="V110" s="810"/>
      <c r="W110" s="842"/>
      <c r="X110" s="842"/>
      <c r="Y110" s="25">
        <f t="shared" si="35"/>
        <v>0</v>
      </c>
    </row>
    <row r="111" spans="1:25">
      <c r="A111" s="847">
        <f t="shared" ref="A111:A142" si="41">IF(B111&lt;&gt;"",A110+1,"")</f>
        <v>106</v>
      </c>
      <c r="B111" s="297" t="s">
        <v>1530</v>
      </c>
      <c r="C111" s="25">
        <f t="shared" ref="C111:C142" si="42">T111</f>
        <v>8555</v>
      </c>
      <c r="D111" s="797">
        <f t="shared" si="39"/>
        <v>1466.9259993092542</v>
      </c>
      <c r="E111" s="797">
        <f t="shared" si="39"/>
        <v>164.17937578390561</v>
      </c>
      <c r="F111" s="797">
        <f t="shared" si="39"/>
        <v>895.42471779397601</v>
      </c>
      <c r="G111" s="797">
        <f t="shared" si="39"/>
        <v>663.47954119935287</v>
      </c>
      <c r="H111" s="797">
        <f t="shared" si="39"/>
        <v>166.02690273208151</v>
      </c>
      <c r="I111" s="25">
        <f t="shared" ref="I111:I142" si="43">SUM(C111:H111)</f>
        <v>11911.03653681857</v>
      </c>
      <c r="J111" s="797">
        <v>2</v>
      </c>
      <c r="K111" s="797">
        <f t="shared" ref="K111:K142" si="44">IF(J111&lt;&gt;"",I111/J111,"")</f>
        <v>5955.5182684092852</v>
      </c>
      <c r="L111" s="698"/>
      <c r="M111" s="698"/>
      <c r="N111" s="192" t="s">
        <v>670</v>
      </c>
      <c r="O111" s="810">
        <f t="shared" ref="O111:O142" si="45">P111-3</f>
        <v>40965</v>
      </c>
      <c r="P111" s="810">
        <v>40968</v>
      </c>
      <c r="Q111" s="811" t="s">
        <v>1521</v>
      </c>
      <c r="R111" s="304">
        <v>1</v>
      </c>
      <c r="S111" s="842">
        <v>8555</v>
      </c>
      <c r="T111" s="25">
        <f t="shared" ref="T111:T142" si="46">ROUND(R111*S111,0)</f>
        <v>8555</v>
      </c>
      <c r="U111" s="451"/>
      <c r="V111" s="810"/>
      <c r="W111" s="842"/>
      <c r="X111" s="842"/>
      <c r="Y111" s="25">
        <f t="shared" ref="Y111:Y142" si="47">W111*X111</f>
        <v>0</v>
      </c>
    </row>
    <row r="112" spans="1:25">
      <c r="A112" s="847">
        <f t="shared" si="41"/>
        <v>107</v>
      </c>
      <c r="B112" s="297" t="s">
        <v>1497</v>
      </c>
      <c r="C112" s="25">
        <f t="shared" si="42"/>
        <v>8555</v>
      </c>
      <c r="D112" s="797">
        <f t="shared" si="39"/>
        <v>1466.9259993092542</v>
      </c>
      <c r="E112" s="797">
        <f t="shared" si="39"/>
        <v>164.17937578390561</v>
      </c>
      <c r="F112" s="797">
        <f t="shared" si="39"/>
        <v>895.42471779397601</v>
      </c>
      <c r="G112" s="797">
        <f t="shared" si="39"/>
        <v>663.47954119935287</v>
      </c>
      <c r="H112" s="797">
        <f t="shared" si="39"/>
        <v>166.02690273208151</v>
      </c>
      <c r="I112" s="25">
        <f t="shared" si="43"/>
        <v>11911.03653681857</v>
      </c>
      <c r="J112" s="797">
        <v>2</v>
      </c>
      <c r="K112" s="797">
        <f t="shared" si="44"/>
        <v>5955.5182684092852</v>
      </c>
      <c r="L112" s="698"/>
      <c r="M112" s="698"/>
      <c r="N112" s="192" t="s">
        <v>670</v>
      </c>
      <c r="O112" s="810">
        <f t="shared" si="45"/>
        <v>40965</v>
      </c>
      <c r="P112" s="810">
        <v>40968</v>
      </c>
      <c r="Q112" s="811" t="s">
        <v>1521</v>
      </c>
      <c r="R112" s="304">
        <v>1</v>
      </c>
      <c r="S112" s="842">
        <v>8555</v>
      </c>
      <c r="T112" s="25">
        <f t="shared" si="46"/>
        <v>8555</v>
      </c>
      <c r="U112" s="451"/>
      <c r="V112" s="810"/>
      <c r="W112" s="842"/>
      <c r="X112" s="842"/>
      <c r="Y112" s="25">
        <f t="shared" si="47"/>
        <v>0</v>
      </c>
    </row>
    <row r="113" spans="1:25">
      <c r="A113" s="847">
        <f t="shared" si="41"/>
        <v>108</v>
      </c>
      <c r="B113" s="297" t="s">
        <v>1528</v>
      </c>
      <c r="C113" s="25">
        <f t="shared" si="42"/>
        <v>25665</v>
      </c>
      <c r="D113" s="797">
        <f t="shared" si="39"/>
        <v>2200.388998963881</v>
      </c>
      <c r="E113" s="797">
        <f t="shared" si="39"/>
        <v>246.26906367585843</v>
      </c>
      <c r="F113" s="797">
        <f t="shared" si="39"/>
        <v>1343.137076690964</v>
      </c>
      <c r="G113" s="797">
        <f t="shared" si="39"/>
        <v>995.21931179902936</v>
      </c>
      <c r="H113" s="797">
        <f t="shared" si="39"/>
        <v>249.04035409812226</v>
      </c>
      <c r="I113" s="25">
        <f t="shared" si="43"/>
        <v>30699.054805227854</v>
      </c>
      <c r="J113" s="797">
        <v>3</v>
      </c>
      <c r="K113" s="797">
        <f t="shared" si="44"/>
        <v>10233.018268409285</v>
      </c>
      <c r="L113" s="698"/>
      <c r="M113" s="698"/>
      <c r="N113" s="192" t="s">
        <v>670</v>
      </c>
      <c r="O113" s="810">
        <f t="shared" si="45"/>
        <v>40965</v>
      </c>
      <c r="P113" s="810">
        <v>40968</v>
      </c>
      <c r="Q113" s="811" t="s">
        <v>1521</v>
      </c>
      <c r="R113" s="304">
        <f>J113</f>
        <v>3</v>
      </c>
      <c r="S113" s="842">
        <v>8555</v>
      </c>
      <c r="T113" s="25">
        <f t="shared" si="46"/>
        <v>25665</v>
      </c>
      <c r="U113" s="451"/>
      <c r="V113" s="810"/>
      <c r="W113" s="842"/>
      <c r="X113" s="842"/>
      <c r="Y113" s="25">
        <f t="shared" si="47"/>
        <v>0</v>
      </c>
    </row>
    <row r="114" spans="1:25">
      <c r="A114" s="847">
        <f t="shared" si="41"/>
        <v>109</v>
      </c>
      <c r="B114" s="297" t="s">
        <v>1511</v>
      </c>
      <c r="C114" s="25">
        <f t="shared" si="42"/>
        <v>8555</v>
      </c>
      <c r="D114" s="797">
        <f t="shared" si="39"/>
        <v>1466.9259993092542</v>
      </c>
      <c r="E114" s="797">
        <f t="shared" si="39"/>
        <v>164.17937578390561</v>
      </c>
      <c r="F114" s="797">
        <f t="shared" si="39"/>
        <v>895.42471779397601</v>
      </c>
      <c r="G114" s="797">
        <f t="shared" si="39"/>
        <v>663.47954119935287</v>
      </c>
      <c r="H114" s="797">
        <f t="shared" si="39"/>
        <v>166.02690273208151</v>
      </c>
      <c r="I114" s="25">
        <f t="shared" si="43"/>
        <v>11911.03653681857</v>
      </c>
      <c r="J114" s="797">
        <v>2</v>
      </c>
      <c r="K114" s="797">
        <f t="shared" si="44"/>
        <v>5955.5182684092852</v>
      </c>
      <c r="L114" s="698"/>
      <c r="M114" s="698"/>
      <c r="N114" s="192" t="s">
        <v>670</v>
      </c>
      <c r="O114" s="810">
        <f t="shared" si="45"/>
        <v>40965</v>
      </c>
      <c r="P114" s="810">
        <v>40968</v>
      </c>
      <c r="Q114" s="811" t="s">
        <v>1521</v>
      </c>
      <c r="R114" s="304">
        <v>1</v>
      </c>
      <c r="S114" s="842">
        <v>8555</v>
      </c>
      <c r="T114" s="25">
        <f t="shared" si="46"/>
        <v>8555</v>
      </c>
      <c r="U114" s="451"/>
      <c r="V114" s="810"/>
      <c r="W114" s="842"/>
      <c r="X114" s="842"/>
      <c r="Y114" s="25">
        <f t="shared" si="47"/>
        <v>0</v>
      </c>
    </row>
    <row r="115" spans="1:25">
      <c r="A115" s="847">
        <f t="shared" si="41"/>
        <v>110</v>
      </c>
      <c r="B115" s="297" t="s">
        <v>1527</v>
      </c>
      <c r="C115" s="25">
        <f t="shared" si="42"/>
        <v>17110</v>
      </c>
      <c r="D115" s="797">
        <f t="shared" si="39"/>
        <v>1466.9259993092542</v>
      </c>
      <c r="E115" s="797">
        <f t="shared" si="39"/>
        <v>164.17937578390561</v>
      </c>
      <c r="F115" s="797">
        <f t="shared" si="39"/>
        <v>895.42471779397601</v>
      </c>
      <c r="G115" s="797">
        <f t="shared" si="39"/>
        <v>663.47954119935287</v>
      </c>
      <c r="H115" s="797">
        <f t="shared" si="39"/>
        <v>166.02690273208151</v>
      </c>
      <c r="I115" s="25">
        <f t="shared" si="43"/>
        <v>20466.03653681857</v>
      </c>
      <c r="J115" s="797">
        <v>2</v>
      </c>
      <c r="K115" s="797">
        <f t="shared" si="44"/>
        <v>10233.018268409285</v>
      </c>
      <c r="L115" s="698"/>
      <c r="M115" s="698"/>
      <c r="N115" s="192" t="s">
        <v>670</v>
      </c>
      <c r="O115" s="810">
        <f t="shared" si="45"/>
        <v>40965</v>
      </c>
      <c r="P115" s="810">
        <v>40968</v>
      </c>
      <c r="Q115" s="811" t="s">
        <v>1521</v>
      </c>
      <c r="R115" s="304">
        <f>J115</f>
        <v>2</v>
      </c>
      <c r="S115" s="842">
        <v>8555</v>
      </c>
      <c r="T115" s="25">
        <f t="shared" si="46"/>
        <v>17110</v>
      </c>
      <c r="U115" s="451"/>
      <c r="V115" s="810"/>
      <c r="W115" s="842"/>
      <c r="X115" s="842"/>
      <c r="Y115" s="25">
        <f t="shared" si="47"/>
        <v>0</v>
      </c>
    </row>
    <row r="116" spans="1:25">
      <c r="A116" s="847">
        <f t="shared" si="41"/>
        <v>111</v>
      </c>
      <c r="B116" s="297" t="s">
        <v>1529</v>
      </c>
      <c r="C116" s="25">
        <f t="shared" si="42"/>
        <v>17110</v>
      </c>
      <c r="D116" s="797">
        <f t="shared" ref="D116:H125" si="48">IF($J$192&lt;&gt;0,D$192/$J$192*$J116,0)</f>
        <v>1466.9259993092542</v>
      </c>
      <c r="E116" s="797">
        <f t="shared" si="48"/>
        <v>164.17937578390561</v>
      </c>
      <c r="F116" s="797">
        <f t="shared" si="48"/>
        <v>895.42471779397601</v>
      </c>
      <c r="G116" s="797">
        <f t="shared" si="48"/>
        <v>663.47954119935287</v>
      </c>
      <c r="H116" s="797">
        <f t="shared" si="48"/>
        <v>166.02690273208151</v>
      </c>
      <c r="I116" s="25">
        <f t="shared" si="43"/>
        <v>20466.03653681857</v>
      </c>
      <c r="J116" s="797">
        <v>2</v>
      </c>
      <c r="K116" s="797">
        <f t="shared" si="44"/>
        <v>10233.018268409285</v>
      </c>
      <c r="L116" s="698"/>
      <c r="M116" s="698"/>
      <c r="N116" s="192" t="s">
        <v>670</v>
      </c>
      <c r="O116" s="810">
        <f t="shared" si="45"/>
        <v>40965</v>
      </c>
      <c r="P116" s="810">
        <v>40968</v>
      </c>
      <c r="Q116" s="811" t="s">
        <v>1521</v>
      </c>
      <c r="R116" s="304">
        <f>J116</f>
        <v>2</v>
      </c>
      <c r="S116" s="842">
        <v>8555</v>
      </c>
      <c r="T116" s="25">
        <f t="shared" si="46"/>
        <v>17110</v>
      </c>
      <c r="U116" s="451"/>
      <c r="V116" s="810"/>
      <c r="W116" s="842"/>
      <c r="X116" s="842"/>
      <c r="Y116" s="25">
        <f t="shared" si="47"/>
        <v>0</v>
      </c>
    </row>
    <row r="117" spans="1:25">
      <c r="A117" s="847">
        <f t="shared" si="41"/>
        <v>112</v>
      </c>
      <c r="B117" s="297" t="s">
        <v>1512</v>
      </c>
      <c r="C117" s="25">
        <f t="shared" si="42"/>
        <v>387772</v>
      </c>
      <c r="D117" s="797">
        <f t="shared" si="48"/>
        <v>48408.55797720539</v>
      </c>
      <c r="E117" s="797">
        <f t="shared" si="48"/>
        <v>5417.9194008688855</v>
      </c>
      <c r="F117" s="797">
        <f t="shared" si="48"/>
        <v>29549.015687201208</v>
      </c>
      <c r="G117" s="797">
        <f t="shared" si="48"/>
        <v>21894.824859578646</v>
      </c>
      <c r="H117" s="797">
        <f t="shared" si="48"/>
        <v>5478.8877901586902</v>
      </c>
      <c r="I117" s="25">
        <f t="shared" si="43"/>
        <v>498521.20571501279</v>
      </c>
      <c r="J117" s="797">
        <v>66</v>
      </c>
      <c r="K117" s="797">
        <f t="shared" si="44"/>
        <v>7553.3516017426182</v>
      </c>
      <c r="L117" s="698"/>
      <c r="M117" s="698"/>
      <c r="N117" s="189" t="s">
        <v>607</v>
      </c>
      <c r="O117" s="810">
        <f t="shared" si="45"/>
        <v>40965</v>
      </c>
      <c r="P117" s="810">
        <v>40968</v>
      </c>
      <c r="Q117" s="811" t="s">
        <v>1521</v>
      </c>
      <c r="R117" s="304">
        <v>22</v>
      </c>
      <c r="S117" s="842">
        <v>17626</v>
      </c>
      <c r="T117" s="25">
        <f t="shared" si="46"/>
        <v>387772</v>
      </c>
      <c r="U117" s="451"/>
      <c r="V117" s="810"/>
      <c r="W117" s="842"/>
      <c r="X117" s="842"/>
      <c r="Y117" s="25">
        <f t="shared" si="47"/>
        <v>0</v>
      </c>
    </row>
    <row r="118" spans="1:25">
      <c r="A118" s="847">
        <f t="shared" si="41"/>
        <v>113</v>
      </c>
      <c r="B118" s="297" t="s">
        <v>1514</v>
      </c>
      <c r="C118" s="25">
        <f t="shared" si="42"/>
        <v>8555</v>
      </c>
      <c r="D118" s="797">
        <f t="shared" si="48"/>
        <v>733.46299965462708</v>
      </c>
      <c r="E118" s="797">
        <f t="shared" si="48"/>
        <v>82.089687891952806</v>
      </c>
      <c r="F118" s="797">
        <f t="shared" si="48"/>
        <v>447.71235889698801</v>
      </c>
      <c r="G118" s="797">
        <f t="shared" si="48"/>
        <v>331.73977059967643</v>
      </c>
      <c r="H118" s="797">
        <f t="shared" si="48"/>
        <v>83.013451366040755</v>
      </c>
      <c r="I118" s="25">
        <f t="shared" si="43"/>
        <v>10233.018268409285</v>
      </c>
      <c r="J118" s="797">
        <v>1</v>
      </c>
      <c r="K118" s="797">
        <f t="shared" si="44"/>
        <v>10233.018268409285</v>
      </c>
      <c r="L118" s="698"/>
      <c r="M118" s="698"/>
      <c r="N118" s="192" t="s">
        <v>670</v>
      </c>
      <c r="O118" s="810">
        <f t="shared" si="45"/>
        <v>40965</v>
      </c>
      <c r="P118" s="810">
        <v>40968</v>
      </c>
      <c r="Q118" s="811" t="s">
        <v>1521</v>
      </c>
      <c r="R118" s="304">
        <f>J118</f>
        <v>1</v>
      </c>
      <c r="S118" s="842">
        <v>8555</v>
      </c>
      <c r="T118" s="25">
        <f t="shared" si="46"/>
        <v>8555</v>
      </c>
      <c r="U118" s="451"/>
      <c r="V118" s="810"/>
      <c r="W118" s="842"/>
      <c r="X118" s="842"/>
      <c r="Y118" s="25">
        <f t="shared" si="47"/>
        <v>0</v>
      </c>
    </row>
    <row r="119" spans="1:25">
      <c r="A119" s="847">
        <f t="shared" si="41"/>
        <v>114</v>
      </c>
      <c r="B119" s="297" t="s">
        <v>1504</v>
      </c>
      <c r="C119" s="25">
        <f t="shared" si="42"/>
        <v>424530</v>
      </c>
      <c r="D119" s="797">
        <f t="shared" si="48"/>
        <v>49875.483976514639</v>
      </c>
      <c r="E119" s="797">
        <f t="shared" si="48"/>
        <v>5582.0987766527905</v>
      </c>
      <c r="F119" s="797">
        <f t="shared" si="48"/>
        <v>30444.440404995185</v>
      </c>
      <c r="G119" s="797">
        <f t="shared" si="48"/>
        <v>22558.304400777997</v>
      </c>
      <c r="H119" s="797">
        <f t="shared" si="48"/>
        <v>5644.9146928907712</v>
      </c>
      <c r="I119" s="25">
        <f t="shared" si="43"/>
        <v>538635.24225183134</v>
      </c>
      <c r="J119" s="797">
        <v>68</v>
      </c>
      <c r="K119" s="797">
        <f t="shared" si="44"/>
        <v>7921.1065037034023</v>
      </c>
      <c r="L119" s="698"/>
      <c r="M119" s="698"/>
      <c r="N119" s="189" t="s">
        <v>640</v>
      </c>
      <c r="O119" s="810">
        <f t="shared" si="45"/>
        <v>40965</v>
      </c>
      <c r="P119" s="810">
        <v>40968</v>
      </c>
      <c r="Q119" s="811" t="s">
        <v>1521</v>
      </c>
      <c r="R119" s="304">
        <v>30</v>
      </c>
      <c r="S119" s="842">
        <v>14151</v>
      </c>
      <c r="T119" s="25">
        <f t="shared" si="46"/>
        <v>424530</v>
      </c>
      <c r="U119" s="451"/>
      <c r="V119" s="810"/>
      <c r="W119" s="842"/>
      <c r="X119" s="842"/>
      <c r="Y119" s="25">
        <f t="shared" si="47"/>
        <v>0</v>
      </c>
    </row>
    <row r="120" spans="1:25">
      <c r="A120" s="847">
        <f t="shared" si="41"/>
        <v>115</v>
      </c>
      <c r="B120" s="297" t="s">
        <v>1505</v>
      </c>
      <c r="C120" s="25">
        <f t="shared" si="42"/>
        <v>1076185</v>
      </c>
      <c r="D120" s="797">
        <f t="shared" si="48"/>
        <v>99750.967953029278</v>
      </c>
      <c r="E120" s="797">
        <f t="shared" si="48"/>
        <v>11164.197553305581</v>
      </c>
      <c r="F120" s="797">
        <f t="shared" si="48"/>
        <v>60888.880809990369</v>
      </c>
      <c r="G120" s="797">
        <f t="shared" si="48"/>
        <v>45116.608801555994</v>
      </c>
      <c r="H120" s="797">
        <f t="shared" si="48"/>
        <v>11289.829385781542</v>
      </c>
      <c r="I120" s="25">
        <f t="shared" si="43"/>
        <v>1304395.4845036629</v>
      </c>
      <c r="J120" s="797">
        <v>136</v>
      </c>
      <c r="K120" s="797">
        <f t="shared" si="44"/>
        <v>9591.143268409287</v>
      </c>
      <c r="L120" s="698"/>
      <c r="M120" s="698"/>
      <c r="N120" s="189" t="s">
        <v>1373</v>
      </c>
      <c r="O120" s="810">
        <f t="shared" si="45"/>
        <v>40965</v>
      </c>
      <c r="P120" s="810">
        <v>40968</v>
      </c>
      <c r="Q120" s="811" t="s">
        <v>1521</v>
      </c>
      <c r="R120" s="304">
        <v>55</v>
      </c>
      <c r="S120" s="842">
        <v>19567</v>
      </c>
      <c r="T120" s="25">
        <f t="shared" si="46"/>
        <v>1076185</v>
      </c>
      <c r="U120" s="451"/>
      <c r="V120" s="810"/>
      <c r="W120" s="842"/>
      <c r="X120" s="842"/>
      <c r="Y120" s="25">
        <f t="shared" si="47"/>
        <v>0</v>
      </c>
    </row>
    <row r="121" spans="1:25">
      <c r="A121" s="847">
        <f t="shared" si="41"/>
        <v>116</v>
      </c>
      <c r="B121" s="297" t="s">
        <v>1525</v>
      </c>
      <c r="C121" s="25">
        <f t="shared" si="42"/>
        <v>391340</v>
      </c>
      <c r="D121" s="797">
        <f t="shared" si="48"/>
        <v>38140.075982040609</v>
      </c>
      <c r="E121" s="797">
        <f t="shared" si="48"/>
        <v>4268.6637703815459</v>
      </c>
      <c r="F121" s="797">
        <f t="shared" si="48"/>
        <v>23281.042662643376</v>
      </c>
      <c r="G121" s="797">
        <f t="shared" si="48"/>
        <v>17250.468071183175</v>
      </c>
      <c r="H121" s="797">
        <f t="shared" si="48"/>
        <v>4316.6994710341196</v>
      </c>
      <c r="I121" s="25">
        <f t="shared" si="43"/>
        <v>478596.94995728281</v>
      </c>
      <c r="J121" s="797">
        <v>52</v>
      </c>
      <c r="K121" s="797">
        <f t="shared" si="44"/>
        <v>9203.7874991785156</v>
      </c>
      <c r="L121" s="698"/>
      <c r="M121" s="698"/>
      <c r="N121" s="189" t="s">
        <v>1373</v>
      </c>
      <c r="O121" s="810">
        <f t="shared" si="45"/>
        <v>40965</v>
      </c>
      <c r="P121" s="810">
        <v>40968</v>
      </c>
      <c r="Q121" s="811" t="s">
        <v>1521</v>
      </c>
      <c r="R121" s="304">
        <v>20</v>
      </c>
      <c r="S121" s="842">
        <v>19567</v>
      </c>
      <c r="T121" s="25">
        <f t="shared" si="46"/>
        <v>391340</v>
      </c>
      <c r="U121" s="451"/>
      <c r="V121" s="810"/>
      <c r="W121" s="842"/>
      <c r="X121" s="842"/>
      <c r="Y121" s="25">
        <f t="shared" si="47"/>
        <v>0</v>
      </c>
    </row>
    <row r="122" spans="1:25">
      <c r="A122" s="847">
        <f t="shared" si="41"/>
        <v>117</v>
      </c>
      <c r="B122" s="297" t="s">
        <v>1506</v>
      </c>
      <c r="C122" s="25">
        <f t="shared" si="42"/>
        <v>5831000</v>
      </c>
      <c r="D122" s="797">
        <f t="shared" si="48"/>
        <v>390202.31581626163</v>
      </c>
      <c r="E122" s="797">
        <f t="shared" si="48"/>
        <v>43671.713958518892</v>
      </c>
      <c r="F122" s="797">
        <f t="shared" si="48"/>
        <v>238182.97493319761</v>
      </c>
      <c r="G122" s="797">
        <f t="shared" si="48"/>
        <v>176485.55795902785</v>
      </c>
      <c r="H122" s="797">
        <f t="shared" si="48"/>
        <v>44163.15612673368</v>
      </c>
      <c r="I122" s="25">
        <f t="shared" si="43"/>
        <v>6723705.7187937396</v>
      </c>
      <c r="J122" s="797">
        <v>532</v>
      </c>
      <c r="K122" s="797">
        <f t="shared" si="44"/>
        <v>12638.544584198758</v>
      </c>
      <c r="L122" s="698"/>
      <c r="M122" s="698"/>
      <c r="N122" s="189" t="s">
        <v>642</v>
      </c>
      <c r="O122" s="810">
        <f t="shared" si="45"/>
        <v>40965</v>
      </c>
      <c r="P122" s="810">
        <v>40968</v>
      </c>
      <c r="Q122" s="811" t="s">
        <v>1521</v>
      </c>
      <c r="R122" s="304">
        <v>350</v>
      </c>
      <c r="S122" s="842">
        <v>16660</v>
      </c>
      <c r="T122" s="25">
        <f t="shared" si="46"/>
        <v>5831000</v>
      </c>
      <c r="U122" s="451"/>
      <c r="V122" s="810"/>
      <c r="W122" s="842"/>
      <c r="X122" s="842"/>
      <c r="Y122" s="25">
        <f t="shared" si="47"/>
        <v>0</v>
      </c>
    </row>
    <row r="123" spans="1:25">
      <c r="A123" s="847">
        <f t="shared" si="41"/>
        <v>118</v>
      </c>
      <c r="B123" s="297" t="s">
        <v>1496</v>
      </c>
      <c r="C123" s="25">
        <f t="shared" si="42"/>
        <v>5534120</v>
      </c>
      <c r="D123" s="797">
        <f t="shared" si="48"/>
        <v>330791.81284423679</v>
      </c>
      <c r="E123" s="797">
        <f t="shared" si="48"/>
        <v>37022.449239270718</v>
      </c>
      <c r="F123" s="797">
        <f t="shared" si="48"/>
        <v>201918.2738625416</v>
      </c>
      <c r="G123" s="797">
        <f t="shared" si="48"/>
        <v>149614.63654045408</v>
      </c>
      <c r="H123" s="797">
        <f t="shared" si="48"/>
        <v>37439.066566084381</v>
      </c>
      <c r="I123" s="25">
        <f t="shared" si="43"/>
        <v>6290906.2390525872</v>
      </c>
      <c r="J123" s="797">
        <v>451</v>
      </c>
      <c r="K123" s="797">
        <f t="shared" si="44"/>
        <v>13948.794321624362</v>
      </c>
      <c r="L123" s="698"/>
      <c r="M123" s="698"/>
      <c r="N123" s="189" t="s">
        <v>641</v>
      </c>
      <c r="O123" s="810">
        <f t="shared" si="45"/>
        <v>40965</v>
      </c>
      <c r="P123" s="810">
        <v>40968</v>
      </c>
      <c r="Q123" s="811" t="s">
        <v>1521</v>
      </c>
      <c r="R123" s="304">
        <v>248</v>
      </c>
      <c r="S123" s="842">
        <v>22315</v>
      </c>
      <c r="T123" s="25">
        <f t="shared" si="46"/>
        <v>5534120</v>
      </c>
      <c r="U123" s="451"/>
      <c r="V123" s="810"/>
      <c r="W123" s="842"/>
      <c r="X123" s="842"/>
      <c r="Y123" s="25">
        <f t="shared" si="47"/>
        <v>0</v>
      </c>
    </row>
    <row r="124" spans="1:25">
      <c r="A124" s="847">
        <f t="shared" si="41"/>
        <v>119</v>
      </c>
      <c r="B124" s="297" t="s">
        <v>1510</v>
      </c>
      <c r="C124" s="25">
        <f t="shared" si="42"/>
        <v>52122</v>
      </c>
      <c r="D124" s="797">
        <f t="shared" si="48"/>
        <v>2933.8519986185083</v>
      </c>
      <c r="E124" s="797">
        <f t="shared" si="48"/>
        <v>328.35875156781123</v>
      </c>
      <c r="F124" s="797">
        <f t="shared" si="48"/>
        <v>1790.849435587952</v>
      </c>
      <c r="G124" s="797">
        <f t="shared" si="48"/>
        <v>1326.9590823987057</v>
      </c>
      <c r="H124" s="797">
        <f t="shared" si="48"/>
        <v>332.05380546416302</v>
      </c>
      <c r="I124" s="25">
        <f t="shared" si="43"/>
        <v>58834.073073637141</v>
      </c>
      <c r="J124" s="797">
        <v>4</v>
      </c>
      <c r="K124" s="797">
        <f t="shared" si="44"/>
        <v>14708.518268409285</v>
      </c>
      <c r="L124" s="698"/>
      <c r="M124" s="698"/>
      <c r="N124" s="192" t="s">
        <v>1240</v>
      </c>
      <c r="O124" s="810">
        <f t="shared" si="45"/>
        <v>40965</v>
      </c>
      <c r="P124" s="810">
        <v>40968</v>
      </c>
      <c r="Q124" s="811" t="s">
        <v>1521</v>
      </c>
      <c r="R124" s="304">
        <v>3</v>
      </c>
      <c r="S124" s="842">
        <v>17374</v>
      </c>
      <c r="T124" s="25">
        <f t="shared" si="46"/>
        <v>52122</v>
      </c>
      <c r="U124" s="451"/>
      <c r="V124" s="810"/>
      <c r="W124" s="842"/>
      <c r="X124" s="842"/>
      <c r="Y124" s="25">
        <f t="shared" si="47"/>
        <v>0</v>
      </c>
    </row>
    <row r="125" spans="1:25">
      <c r="A125" s="847">
        <f t="shared" si="41"/>
        <v>120</v>
      </c>
      <c r="B125" s="297" t="s">
        <v>1526</v>
      </c>
      <c r="C125" s="25">
        <f t="shared" si="42"/>
        <v>3944959</v>
      </c>
      <c r="D125" s="797">
        <f t="shared" si="48"/>
        <v>253778.19788050096</v>
      </c>
      <c r="E125" s="797">
        <f t="shared" si="48"/>
        <v>28403.032010615672</v>
      </c>
      <c r="F125" s="797">
        <f t="shared" si="48"/>
        <v>154908.47617835784</v>
      </c>
      <c r="G125" s="797">
        <f t="shared" si="48"/>
        <v>114781.96062748805</v>
      </c>
      <c r="H125" s="797">
        <f t="shared" si="48"/>
        <v>28722.654172650102</v>
      </c>
      <c r="I125" s="25">
        <f t="shared" si="43"/>
        <v>4525553.3208696134</v>
      </c>
      <c r="J125" s="797">
        <v>346</v>
      </c>
      <c r="K125" s="797">
        <f t="shared" si="44"/>
        <v>13079.633875345704</v>
      </c>
      <c r="L125" s="698"/>
      <c r="M125" s="698"/>
      <c r="N125" s="192" t="s">
        <v>658</v>
      </c>
      <c r="O125" s="810">
        <f t="shared" si="45"/>
        <v>40965</v>
      </c>
      <c r="P125" s="810">
        <v>40968</v>
      </c>
      <c r="Q125" s="811" t="s">
        <v>1521</v>
      </c>
      <c r="R125" s="304">
        <v>139</v>
      </c>
      <c r="S125" s="842">
        <v>28381</v>
      </c>
      <c r="T125" s="25">
        <f t="shared" si="46"/>
        <v>3944959</v>
      </c>
      <c r="U125" s="451"/>
      <c r="V125" s="810"/>
      <c r="W125" s="842"/>
      <c r="X125" s="842"/>
      <c r="Y125" s="25">
        <f t="shared" si="47"/>
        <v>0</v>
      </c>
    </row>
    <row r="126" spans="1:25">
      <c r="A126" s="847">
        <f t="shared" si="41"/>
        <v>121</v>
      </c>
      <c r="B126" s="297" t="s">
        <v>1522</v>
      </c>
      <c r="C126" s="25">
        <f t="shared" si="42"/>
        <v>2915500</v>
      </c>
      <c r="D126" s="797">
        <f t="shared" ref="D126:H135" si="49">IF($J$192&lt;&gt;0,D$192/$J$192*$J126,0)</f>
        <v>143758.7479323069</v>
      </c>
      <c r="E126" s="797">
        <f t="shared" si="49"/>
        <v>16089.57882682275</v>
      </c>
      <c r="F126" s="797">
        <f t="shared" si="49"/>
        <v>87751.622343809649</v>
      </c>
      <c r="G126" s="797">
        <f t="shared" si="49"/>
        <v>65020.995037536581</v>
      </c>
      <c r="H126" s="797">
        <f t="shared" si="49"/>
        <v>16270.636467743989</v>
      </c>
      <c r="I126" s="25">
        <f t="shared" si="43"/>
        <v>3244391.5806082203</v>
      </c>
      <c r="J126" s="797">
        <v>196</v>
      </c>
      <c r="K126" s="797">
        <f t="shared" si="44"/>
        <v>16553.018268409287</v>
      </c>
      <c r="L126" s="698"/>
      <c r="M126" s="698"/>
      <c r="N126" s="189" t="s">
        <v>643</v>
      </c>
      <c r="O126" s="810">
        <f t="shared" si="45"/>
        <v>40965</v>
      </c>
      <c r="P126" s="810">
        <v>40968</v>
      </c>
      <c r="Q126" s="811" t="s">
        <v>1521</v>
      </c>
      <c r="R126" s="304">
        <v>100</v>
      </c>
      <c r="S126" s="842">
        <v>29155</v>
      </c>
      <c r="T126" s="25">
        <f t="shared" si="46"/>
        <v>2915500</v>
      </c>
      <c r="U126" s="451"/>
      <c r="V126" s="810"/>
      <c r="W126" s="842"/>
      <c r="X126" s="842"/>
      <c r="Y126" s="25">
        <f t="shared" si="47"/>
        <v>0</v>
      </c>
    </row>
    <row r="127" spans="1:25">
      <c r="A127" s="847">
        <f t="shared" si="41"/>
        <v>122</v>
      </c>
      <c r="B127" s="297" t="s">
        <v>1513</v>
      </c>
      <c r="C127" s="25">
        <f t="shared" si="42"/>
        <v>684845</v>
      </c>
      <c r="D127" s="797">
        <f t="shared" si="49"/>
        <v>36673.149982731353</v>
      </c>
      <c r="E127" s="797">
        <f t="shared" si="49"/>
        <v>4104.4843945976399</v>
      </c>
      <c r="F127" s="797">
        <f t="shared" si="49"/>
        <v>22385.6179448494</v>
      </c>
      <c r="G127" s="797">
        <f t="shared" si="49"/>
        <v>16586.988529983821</v>
      </c>
      <c r="H127" s="797">
        <f t="shared" si="49"/>
        <v>4150.6725683020377</v>
      </c>
      <c r="I127" s="25">
        <f t="shared" si="43"/>
        <v>768745.91342046415</v>
      </c>
      <c r="J127" s="797">
        <v>50</v>
      </c>
      <c r="K127" s="797">
        <f t="shared" si="44"/>
        <v>15374.918268409283</v>
      </c>
      <c r="L127" s="698"/>
      <c r="M127" s="698"/>
      <c r="N127" s="189" t="s">
        <v>1373</v>
      </c>
      <c r="O127" s="810">
        <f t="shared" si="45"/>
        <v>40965</v>
      </c>
      <c r="P127" s="810">
        <v>40968</v>
      </c>
      <c r="Q127" s="811" t="s">
        <v>1521</v>
      </c>
      <c r="R127" s="304">
        <v>35</v>
      </c>
      <c r="S127" s="842">
        <v>19567</v>
      </c>
      <c r="T127" s="25">
        <f t="shared" si="46"/>
        <v>684845</v>
      </c>
      <c r="U127" s="451"/>
      <c r="V127" s="810"/>
      <c r="W127" s="842"/>
      <c r="X127" s="842"/>
      <c r="Y127" s="25">
        <f t="shared" si="47"/>
        <v>0</v>
      </c>
    </row>
    <row r="128" spans="1:25">
      <c r="A128" s="847">
        <f t="shared" si="41"/>
        <v>123</v>
      </c>
      <c r="B128" s="297" t="s">
        <v>1516</v>
      </c>
      <c r="C128" s="25">
        <f t="shared" si="42"/>
        <v>488280</v>
      </c>
      <c r="D128" s="797">
        <f t="shared" si="49"/>
        <v>22003.889989638814</v>
      </c>
      <c r="E128" s="797">
        <f t="shared" si="49"/>
        <v>2462.6906367585843</v>
      </c>
      <c r="F128" s="797">
        <f t="shared" si="49"/>
        <v>13431.37076690964</v>
      </c>
      <c r="G128" s="797">
        <f t="shared" si="49"/>
        <v>9952.1931179902931</v>
      </c>
      <c r="H128" s="797">
        <f t="shared" si="49"/>
        <v>2490.4035409812227</v>
      </c>
      <c r="I128" s="25">
        <f t="shared" si="43"/>
        <v>538620.54805227858</v>
      </c>
      <c r="J128" s="797">
        <v>30</v>
      </c>
      <c r="K128" s="797">
        <f t="shared" si="44"/>
        <v>17954.018268409287</v>
      </c>
      <c r="L128" s="698"/>
      <c r="M128" s="698"/>
      <c r="N128" s="297" t="s">
        <v>1368</v>
      </c>
      <c r="O128" s="810">
        <f t="shared" si="45"/>
        <v>40965</v>
      </c>
      <c r="P128" s="810">
        <v>40968</v>
      </c>
      <c r="Q128" s="811" t="s">
        <v>1521</v>
      </c>
      <c r="R128" s="304">
        <v>40</v>
      </c>
      <c r="S128" s="842">
        <v>12207</v>
      </c>
      <c r="T128" s="25">
        <f t="shared" si="46"/>
        <v>488280</v>
      </c>
      <c r="U128" s="451"/>
      <c r="V128" s="810"/>
      <c r="W128" s="842"/>
      <c r="X128" s="842"/>
      <c r="Y128" s="25">
        <f t="shared" si="47"/>
        <v>0</v>
      </c>
    </row>
    <row r="129" spans="1:25">
      <c r="A129" s="847">
        <f t="shared" si="41"/>
        <v>124</v>
      </c>
      <c r="B129" s="297" t="s">
        <v>1523</v>
      </c>
      <c r="C129" s="25">
        <f t="shared" si="42"/>
        <v>782680</v>
      </c>
      <c r="D129" s="797">
        <f t="shared" si="49"/>
        <v>46208.168978241505</v>
      </c>
      <c r="E129" s="797">
        <f t="shared" si="49"/>
        <v>5171.6503371930266</v>
      </c>
      <c r="F129" s="797">
        <f t="shared" si="49"/>
        <v>28205.878610510244</v>
      </c>
      <c r="G129" s="797">
        <f t="shared" si="49"/>
        <v>20899.605547779614</v>
      </c>
      <c r="H129" s="797">
        <f t="shared" si="49"/>
        <v>5229.8474360605678</v>
      </c>
      <c r="I129" s="25">
        <f t="shared" si="43"/>
        <v>888395.15090978495</v>
      </c>
      <c r="J129" s="797">
        <v>63</v>
      </c>
      <c r="K129" s="797">
        <f t="shared" si="44"/>
        <v>14101.510331901349</v>
      </c>
      <c r="L129" s="698"/>
      <c r="M129" s="698"/>
      <c r="N129" s="189" t="s">
        <v>1373</v>
      </c>
      <c r="O129" s="810">
        <f t="shared" si="45"/>
        <v>40965</v>
      </c>
      <c r="P129" s="810">
        <v>40968</v>
      </c>
      <c r="Q129" s="811" t="s">
        <v>1521</v>
      </c>
      <c r="R129" s="304">
        <v>40</v>
      </c>
      <c r="S129" s="842">
        <v>19567</v>
      </c>
      <c r="T129" s="25">
        <f t="shared" si="46"/>
        <v>782680</v>
      </c>
      <c r="U129" s="451"/>
      <c r="V129" s="810"/>
      <c r="W129" s="842"/>
      <c r="X129" s="842"/>
      <c r="Y129" s="25">
        <f t="shared" si="47"/>
        <v>0</v>
      </c>
    </row>
    <row r="130" spans="1:25">
      <c r="A130" s="847">
        <f t="shared" si="41"/>
        <v>125</v>
      </c>
      <c r="B130" s="297" t="s">
        <v>1509</v>
      </c>
      <c r="C130" s="25">
        <f t="shared" si="42"/>
        <v>1446680</v>
      </c>
      <c r="D130" s="797">
        <f t="shared" si="49"/>
        <v>121021.39494301347</v>
      </c>
      <c r="E130" s="797">
        <f t="shared" si="49"/>
        <v>13544.798502172212</v>
      </c>
      <c r="F130" s="797">
        <f t="shared" si="49"/>
        <v>73872.539218003018</v>
      </c>
      <c r="G130" s="797">
        <f t="shared" si="49"/>
        <v>54737.062148946614</v>
      </c>
      <c r="H130" s="797">
        <f t="shared" si="49"/>
        <v>13697.219475396725</v>
      </c>
      <c r="I130" s="25">
        <f t="shared" si="43"/>
        <v>1723553.0142875318</v>
      </c>
      <c r="J130" s="797">
        <v>165</v>
      </c>
      <c r="K130" s="797">
        <f t="shared" si="44"/>
        <v>10445.775844166859</v>
      </c>
      <c r="L130" s="698"/>
      <c r="M130" s="698"/>
      <c r="N130" s="192" t="s">
        <v>671</v>
      </c>
      <c r="O130" s="810">
        <f t="shared" si="45"/>
        <v>40965</v>
      </c>
      <c r="P130" s="810">
        <v>40968</v>
      </c>
      <c r="Q130" s="811" t="s">
        <v>1521</v>
      </c>
      <c r="R130" s="304">
        <v>118</v>
      </c>
      <c r="S130" s="842">
        <v>12260</v>
      </c>
      <c r="T130" s="25">
        <f t="shared" si="46"/>
        <v>1446680</v>
      </c>
      <c r="U130" s="451"/>
      <c r="V130" s="810"/>
      <c r="W130" s="842"/>
      <c r="X130" s="842"/>
      <c r="Y130" s="25">
        <f t="shared" si="47"/>
        <v>0</v>
      </c>
    </row>
    <row r="131" spans="1:25">
      <c r="A131" s="847">
        <f t="shared" si="41"/>
        <v>126</v>
      </c>
      <c r="B131" s="297" t="s">
        <v>1507</v>
      </c>
      <c r="C131" s="25">
        <f t="shared" si="42"/>
        <v>17374</v>
      </c>
      <c r="D131" s="797">
        <f t="shared" si="49"/>
        <v>733.46299965462708</v>
      </c>
      <c r="E131" s="797">
        <f t="shared" si="49"/>
        <v>82.089687891952806</v>
      </c>
      <c r="F131" s="797">
        <f t="shared" si="49"/>
        <v>447.71235889698801</v>
      </c>
      <c r="G131" s="797">
        <f t="shared" si="49"/>
        <v>331.73977059967643</v>
      </c>
      <c r="H131" s="797">
        <f t="shared" si="49"/>
        <v>83.013451366040755</v>
      </c>
      <c r="I131" s="25">
        <f t="shared" si="43"/>
        <v>19052.018268409287</v>
      </c>
      <c r="J131" s="797">
        <v>1</v>
      </c>
      <c r="K131" s="797">
        <f t="shared" si="44"/>
        <v>19052.018268409287</v>
      </c>
      <c r="L131" s="698"/>
      <c r="M131" s="698"/>
      <c r="N131" s="192" t="s">
        <v>1240</v>
      </c>
      <c r="O131" s="810">
        <f t="shared" si="45"/>
        <v>40965</v>
      </c>
      <c r="P131" s="810">
        <v>40968</v>
      </c>
      <c r="Q131" s="811" t="s">
        <v>1521</v>
      </c>
      <c r="R131" s="304">
        <v>1</v>
      </c>
      <c r="S131" s="842">
        <v>17374</v>
      </c>
      <c r="T131" s="25">
        <f t="shared" si="46"/>
        <v>17374</v>
      </c>
      <c r="U131" s="451"/>
      <c r="V131" s="810"/>
      <c r="W131" s="842"/>
      <c r="X131" s="842"/>
      <c r="Y131" s="25">
        <f t="shared" si="47"/>
        <v>0</v>
      </c>
    </row>
    <row r="132" spans="1:25">
      <c r="A132" s="847">
        <f t="shared" si="41"/>
        <v>127</v>
      </c>
      <c r="B132" s="297" t="s">
        <v>1524</v>
      </c>
      <c r="C132" s="25">
        <f t="shared" si="42"/>
        <v>872150</v>
      </c>
      <c r="D132" s="797">
        <f t="shared" si="49"/>
        <v>36673.149982731353</v>
      </c>
      <c r="E132" s="797">
        <f t="shared" si="49"/>
        <v>4104.4843945976399</v>
      </c>
      <c r="F132" s="797">
        <f t="shared" si="49"/>
        <v>22385.6179448494</v>
      </c>
      <c r="G132" s="797">
        <f t="shared" si="49"/>
        <v>16586.988529983821</v>
      </c>
      <c r="H132" s="797">
        <f t="shared" si="49"/>
        <v>4150.6725683020377</v>
      </c>
      <c r="I132" s="25">
        <f t="shared" si="43"/>
        <v>956050.91342046415</v>
      </c>
      <c r="J132" s="797">
        <v>50</v>
      </c>
      <c r="K132" s="797">
        <f t="shared" si="44"/>
        <v>19121.018268409283</v>
      </c>
      <c r="L132" s="698"/>
      <c r="M132" s="698"/>
      <c r="N132" s="189" t="s">
        <v>647</v>
      </c>
      <c r="O132" s="810">
        <f t="shared" si="45"/>
        <v>40965</v>
      </c>
      <c r="P132" s="810">
        <v>40968</v>
      </c>
      <c r="Q132" s="811" t="s">
        <v>1521</v>
      </c>
      <c r="R132" s="304">
        <v>50</v>
      </c>
      <c r="S132" s="842">
        <v>17443</v>
      </c>
      <c r="T132" s="25">
        <f t="shared" si="46"/>
        <v>872150</v>
      </c>
      <c r="U132" s="451"/>
      <c r="V132" s="810"/>
      <c r="W132" s="842"/>
      <c r="X132" s="842"/>
      <c r="Y132" s="25">
        <f t="shared" si="47"/>
        <v>0</v>
      </c>
    </row>
    <row r="133" spans="1:25">
      <c r="A133" s="847">
        <f t="shared" si="41"/>
        <v>128</v>
      </c>
      <c r="B133" s="297" t="s">
        <v>1489</v>
      </c>
      <c r="C133" s="25">
        <f t="shared" si="42"/>
        <v>5275200</v>
      </c>
      <c r="D133" s="797">
        <f t="shared" si="49"/>
        <v>359396.86983076727</v>
      </c>
      <c r="E133" s="797">
        <f t="shared" si="49"/>
        <v>40223.947067056877</v>
      </c>
      <c r="F133" s="797">
        <f t="shared" si="49"/>
        <v>219379.05585952412</v>
      </c>
      <c r="G133" s="797">
        <f t="shared" si="49"/>
        <v>162552.48759384145</v>
      </c>
      <c r="H133" s="797">
        <f t="shared" si="49"/>
        <v>40676.59116935997</v>
      </c>
      <c r="I133" s="25">
        <f t="shared" si="43"/>
        <v>6097428.9515205501</v>
      </c>
      <c r="J133" s="797">
        <v>490</v>
      </c>
      <c r="K133" s="797">
        <f t="shared" si="44"/>
        <v>12443.732554123571</v>
      </c>
      <c r="L133" s="698"/>
      <c r="M133" s="698"/>
      <c r="N133" s="189" t="s">
        <v>1261</v>
      </c>
      <c r="O133" s="810">
        <f t="shared" si="45"/>
        <v>40968</v>
      </c>
      <c r="P133" s="810">
        <v>40971</v>
      </c>
      <c r="Q133" s="811" t="s">
        <v>940</v>
      </c>
      <c r="R133" s="304">
        <v>280</v>
      </c>
      <c r="S133" s="842">
        <v>18840</v>
      </c>
      <c r="T133" s="25">
        <f t="shared" si="46"/>
        <v>5275200</v>
      </c>
      <c r="U133" s="451"/>
      <c r="V133" s="810"/>
      <c r="W133" s="842"/>
      <c r="X133" s="842"/>
      <c r="Y133" s="25">
        <f t="shared" si="47"/>
        <v>0</v>
      </c>
    </row>
    <row r="134" spans="1:25">
      <c r="A134" s="847">
        <f t="shared" si="41"/>
        <v>129</v>
      </c>
      <c r="B134" s="297" t="s">
        <v>1478</v>
      </c>
      <c r="C134" s="25">
        <f t="shared" si="42"/>
        <v>1808290</v>
      </c>
      <c r="D134" s="797">
        <f t="shared" si="49"/>
        <v>33005.834984458219</v>
      </c>
      <c r="E134" s="797">
        <f t="shared" si="49"/>
        <v>3694.0359551378765</v>
      </c>
      <c r="F134" s="797">
        <f t="shared" si="49"/>
        <v>20147.05615036446</v>
      </c>
      <c r="G134" s="797">
        <f t="shared" si="49"/>
        <v>14928.28967698544</v>
      </c>
      <c r="H134" s="797">
        <f t="shared" si="49"/>
        <v>3735.6053114718338</v>
      </c>
      <c r="I134" s="25">
        <f t="shared" si="43"/>
        <v>1883800.8220784178</v>
      </c>
      <c r="J134" s="797">
        <v>45</v>
      </c>
      <c r="K134" s="797">
        <f t="shared" si="44"/>
        <v>41862.240490631506</v>
      </c>
      <c r="L134" s="698"/>
      <c r="M134" s="698"/>
      <c r="N134" s="189" t="s">
        <v>1260</v>
      </c>
      <c r="O134" s="810">
        <f t="shared" si="45"/>
        <v>40968</v>
      </c>
      <c r="P134" s="810">
        <v>40971</v>
      </c>
      <c r="Q134" s="811" t="s">
        <v>941</v>
      </c>
      <c r="R134" s="304">
        <v>55</v>
      </c>
      <c r="S134" s="842">
        <v>32878</v>
      </c>
      <c r="T134" s="25">
        <f t="shared" si="46"/>
        <v>1808290</v>
      </c>
      <c r="U134" s="451"/>
      <c r="V134" s="810"/>
      <c r="W134" s="842"/>
      <c r="X134" s="842"/>
      <c r="Y134" s="25">
        <f t="shared" si="47"/>
        <v>0</v>
      </c>
    </row>
    <row r="135" spans="1:25">
      <c r="A135" s="847">
        <f t="shared" si="41"/>
        <v>130</v>
      </c>
      <c r="B135" s="297" t="s">
        <v>1479</v>
      </c>
      <c r="C135" s="25">
        <f t="shared" si="42"/>
        <v>9162900</v>
      </c>
      <c r="D135" s="797">
        <f t="shared" si="49"/>
        <v>308054.45985494339</v>
      </c>
      <c r="E135" s="797">
        <f t="shared" si="49"/>
        <v>34477.668914620175</v>
      </c>
      <c r="F135" s="797">
        <f t="shared" si="49"/>
        <v>188039.19073673495</v>
      </c>
      <c r="G135" s="797">
        <f t="shared" si="49"/>
        <v>139330.70365186411</v>
      </c>
      <c r="H135" s="797">
        <f t="shared" si="49"/>
        <v>34865.649573737115</v>
      </c>
      <c r="I135" s="25">
        <f t="shared" si="43"/>
        <v>9867667.6727319006</v>
      </c>
      <c r="J135" s="797">
        <v>420</v>
      </c>
      <c r="K135" s="797">
        <f t="shared" si="44"/>
        <v>23494.446839837859</v>
      </c>
      <c r="L135" s="698"/>
      <c r="M135" s="698"/>
      <c r="N135" s="189" t="s">
        <v>1371</v>
      </c>
      <c r="O135" s="810">
        <f t="shared" si="45"/>
        <v>40968</v>
      </c>
      <c r="P135" s="810">
        <v>40971</v>
      </c>
      <c r="Q135" s="811" t="s">
        <v>941</v>
      </c>
      <c r="R135" s="304">
        <v>450</v>
      </c>
      <c r="S135" s="842">
        <v>20362</v>
      </c>
      <c r="T135" s="25">
        <f t="shared" si="46"/>
        <v>9162900</v>
      </c>
      <c r="U135" s="451"/>
      <c r="V135" s="810"/>
      <c r="W135" s="842"/>
      <c r="X135" s="842"/>
      <c r="Y135" s="25">
        <f t="shared" si="47"/>
        <v>0</v>
      </c>
    </row>
    <row r="136" spans="1:25">
      <c r="A136" s="847">
        <f t="shared" si="41"/>
        <v>131</v>
      </c>
      <c r="B136" s="297" t="s">
        <v>1480</v>
      </c>
      <c r="C136" s="25">
        <f t="shared" si="42"/>
        <v>654560</v>
      </c>
      <c r="D136" s="797">
        <f t="shared" ref="D136:H145" si="50">IF($J$192&lt;&gt;0,D$192/$J$192*$J136,0)</f>
        <v>11001.944994819407</v>
      </c>
      <c r="E136" s="797">
        <f t="shared" si="50"/>
        <v>1231.3453183792922</v>
      </c>
      <c r="F136" s="797">
        <f t="shared" si="50"/>
        <v>6715.6853834548201</v>
      </c>
      <c r="G136" s="797">
        <f t="shared" si="50"/>
        <v>4976.0965589951466</v>
      </c>
      <c r="H136" s="797">
        <f t="shared" si="50"/>
        <v>1245.2017704906114</v>
      </c>
      <c r="I136" s="25">
        <f t="shared" si="43"/>
        <v>679730.27402613929</v>
      </c>
      <c r="J136" s="797">
        <v>15</v>
      </c>
      <c r="K136" s="797">
        <f t="shared" si="44"/>
        <v>45315.351601742623</v>
      </c>
      <c r="L136" s="698"/>
      <c r="M136" s="698"/>
      <c r="N136" s="189" t="s">
        <v>1257</v>
      </c>
      <c r="O136" s="810">
        <f t="shared" si="45"/>
        <v>40968</v>
      </c>
      <c r="P136" s="810">
        <v>40971</v>
      </c>
      <c r="Q136" s="811" t="s">
        <v>941</v>
      </c>
      <c r="R136" s="304">
        <v>20</v>
      </c>
      <c r="S136" s="842">
        <v>32728</v>
      </c>
      <c r="T136" s="25">
        <f t="shared" si="46"/>
        <v>654560</v>
      </c>
      <c r="U136" s="451"/>
      <c r="V136" s="810"/>
      <c r="W136" s="842"/>
      <c r="X136" s="842"/>
      <c r="Y136" s="25">
        <f t="shared" si="47"/>
        <v>0</v>
      </c>
    </row>
    <row r="137" spans="1:25">
      <c r="A137" s="847">
        <f t="shared" si="41"/>
        <v>132</v>
      </c>
      <c r="B137" s="297" t="s">
        <v>1481</v>
      </c>
      <c r="C137" s="25">
        <f t="shared" si="42"/>
        <v>1572550</v>
      </c>
      <c r="D137" s="797">
        <f t="shared" si="50"/>
        <v>33005.834984458219</v>
      </c>
      <c r="E137" s="797">
        <f t="shared" si="50"/>
        <v>3694.0359551378765</v>
      </c>
      <c r="F137" s="797">
        <f t="shared" si="50"/>
        <v>20147.05615036446</v>
      </c>
      <c r="G137" s="797">
        <f t="shared" si="50"/>
        <v>14928.28967698544</v>
      </c>
      <c r="H137" s="797">
        <f t="shared" si="50"/>
        <v>3735.6053114718338</v>
      </c>
      <c r="I137" s="25">
        <f t="shared" si="43"/>
        <v>1648060.8220784178</v>
      </c>
      <c r="J137" s="797">
        <v>45</v>
      </c>
      <c r="K137" s="797">
        <f t="shared" si="44"/>
        <v>36623.573823964842</v>
      </c>
      <c r="L137" s="698"/>
      <c r="M137" s="698"/>
      <c r="N137" s="297" t="s">
        <v>1249</v>
      </c>
      <c r="O137" s="810">
        <f t="shared" si="45"/>
        <v>40968</v>
      </c>
      <c r="P137" s="810">
        <v>40971</v>
      </c>
      <c r="Q137" s="811" t="s">
        <v>941</v>
      </c>
      <c r="R137" s="304">
        <v>50</v>
      </c>
      <c r="S137" s="842">
        <v>31451</v>
      </c>
      <c r="T137" s="25">
        <f t="shared" si="46"/>
        <v>1572550</v>
      </c>
      <c r="U137" s="451"/>
      <c r="V137" s="810"/>
      <c r="W137" s="842"/>
      <c r="X137" s="842"/>
      <c r="Y137" s="25">
        <f t="shared" si="47"/>
        <v>0</v>
      </c>
    </row>
    <row r="138" spans="1:25">
      <c r="A138" s="847">
        <f t="shared" si="41"/>
        <v>133</v>
      </c>
      <c r="B138" s="297" t="s">
        <v>1482</v>
      </c>
      <c r="C138" s="25">
        <f t="shared" si="42"/>
        <v>2420600</v>
      </c>
      <c r="D138" s="797">
        <f t="shared" si="50"/>
        <v>73346.299965462706</v>
      </c>
      <c r="E138" s="797">
        <f t="shared" si="50"/>
        <v>8208.9687891952799</v>
      </c>
      <c r="F138" s="797">
        <f t="shared" si="50"/>
        <v>44771.235889698801</v>
      </c>
      <c r="G138" s="797">
        <f t="shared" si="50"/>
        <v>33173.977059967641</v>
      </c>
      <c r="H138" s="797">
        <f t="shared" si="50"/>
        <v>8301.3451366040754</v>
      </c>
      <c r="I138" s="25">
        <f t="shared" si="43"/>
        <v>2588401.8268409288</v>
      </c>
      <c r="J138" s="797">
        <v>100</v>
      </c>
      <c r="K138" s="797">
        <f t="shared" si="44"/>
        <v>25884.018268409287</v>
      </c>
      <c r="L138" s="698"/>
      <c r="M138" s="698"/>
      <c r="N138" s="189" t="s">
        <v>1247</v>
      </c>
      <c r="O138" s="810">
        <f t="shared" si="45"/>
        <v>40968</v>
      </c>
      <c r="P138" s="810">
        <v>40971</v>
      </c>
      <c r="Q138" s="811" t="s">
        <v>941</v>
      </c>
      <c r="R138" s="304">
        <v>100</v>
      </c>
      <c r="S138" s="842">
        <v>24206</v>
      </c>
      <c r="T138" s="25">
        <f t="shared" si="46"/>
        <v>2420600</v>
      </c>
      <c r="U138" s="451"/>
      <c r="V138" s="810"/>
      <c r="W138" s="842"/>
      <c r="X138" s="842"/>
      <c r="Y138" s="25">
        <f t="shared" si="47"/>
        <v>0</v>
      </c>
    </row>
    <row r="139" spans="1:25">
      <c r="A139" s="847">
        <f t="shared" si="41"/>
        <v>134</v>
      </c>
      <c r="B139" s="297" t="s">
        <v>1483</v>
      </c>
      <c r="C139" s="25">
        <f t="shared" si="42"/>
        <v>708050</v>
      </c>
      <c r="D139" s="797">
        <f t="shared" si="50"/>
        <v>34472.760983767475</v>
      </c>
      <c r="E139" s="797">
        <f t="shared" si="50"/>
        <v>3858.215330921782</v>
      </c>
      <c r="F139" s="797">
        <f t="shared" si="50"/>
        <v>21042.480868158436</v>
      </c>
      <c r="G139" s="797">
        <f t="shared" si="50"/>
        <v>15591.769218184792</v>
      </c>
      <c r="H139" s="797">
        <f t="shared" si="50"/>
        <v>3901.6322142039153</v>
      </c>
      <c r="I139" s="25">
        <f t="shared" si="43"/>
        <v>786916.85861523636</v>
      </c>
      <c r="J139" s="797">
        <v>47</v>
      </c>
      <c r="K139" s="797">
        <f t="shared" si="44"/>
        <v>16742.91188543056</v>
      </c>
      <c r="L139" s="698"/>
      <c r="M139" s="698"/>
      <c r="N139" s="189" t="s">
        <v>615</v>
      </c>
      <c r="O139" s="810">
        <f t="shared" si="45"/>
        <v>40968</v>
      </c>
      <c r="P139" s="810">
        <v>40971</v>
      </c>
      <c r="Q139" s="811" t="s">
        <v>941</v>
      </c>
      <c r="R139" s="304">
        <v>50</v>
      </c>
      <c r="S139" s="842">
        <v>14161</v>
      </c>
      <c r="T139" s="25">
        <f t="shared" si="46"/>
        <v>708050</v>
      </c>
      <c r="U139" s="451"/>
      <c r="V139" s="810"/>
      <c r="W139" s="842"/>
      <c r="X139" s="842"/>
      <c r="Y139" s="25">
        <f t="shared" si="47"/>
        <v>0</v>
      </c>
    </row>
    <row r="140" spans="1:25">
      <c r="A140" s="847">
        <f t="shared" si="41"/>
        <v>135</v>
      </c>
      <c r="B140" s="297" t="s">
        <v>1111</v>
      </c>
      <c r="C140" s="25">
        <f t="shared" si="42"/>
        <v>8555</v>
      </c>
      <c r="D140" s="797">
        <f t="shared" si="50"/>
        <v>22003.889989638814</v>
      </c>
      <c r="E140" s="797">
        <f t="shared" si="50"/>
        <v>2462.6906367585843</v>
      </c>
      <c r="F140" s="797">
        <f t="shared" si="50"/>
        <v>13431.37076690964</v>
      </c>
      <c r="G140" s="797">
        <f t="shared" si="50"/>
        <v>9952.1931179902931</v>
      </c>
      <c r="H140" s="797">
        <f t="shared" si="50"/>
        <v>2490.4035409812227</v>
      </c>
      <c r="I140" s="25">
        <f t="shared" si="43"/>
        <v>58895.548052278551</v>
      </c>
      <c r="J140" s="797">
        <v>30</v>
      </c>
      <c r="K140" s="797">
        <f t="shared" si="44"/>
        <v>1963.1849350759517</v>
      </c>
      <c r="L140" s="698"/>
      <c r="M140" s="698"/>
      <c r="N140" s="192" t="s">
        <v>670</v>
      </c>
      <c r="O140" s="810">
        <f t="shared" si="45"/>
        <v>40968</v>
      </c>
      <c r="P140" s="810">
        <v>40971</v>
      </c>
      <c r="Q140" s="811" t="s">
        <v>941</v>
      </c>
      <c r="R140" s="304">
        <v>1</v>
      </c>
      <c r="S140" s="842">
        <v>8555</v>
      </c>
      <c r="T140" s="25">
        <f t="shared" si="46"/>
        <v>8555</v>
      </c>
      <c r="U140" s="451"/>
      <c r="V140" s="810"/>
      <c r="W140" s="842"/>
      <c r="X140" s="842"/>
      <c r="Y140" s="25">
        <f t="shared" si="47"/>
        <v>0</v>
      </c>
    </row>
    <row r="141" spans="1:25">
      <c r="A141" s="847">
        <f t="shared" si="41"/>
        <v>136</v>
      </c>
      <c r="B141" s="297" t="s">
        <v>1484</v>
      </c>
      <c r="C141" s="25">
        <f t="shared" si="42"/>
        <v>657560</v>
      </c>
      <c r="D141" s="797">
        <f t="shared" si="50"/>
        <v>14669.259993092543</v>
      </c>
      <c r="E141" s="797">
        <f t="shared" si="50"/>
        <v>1641.7937578390561</v>
      </c>
      <c r="F141" s="797">
        <f t="shared" si="50"/>
        <v>8954.2471779397601</v>
      </c>
      <c r="G141" s="797">
        <f t="shared" si="50"/>
        <v>6634.7954119935284</v>
      </c>
      <c r="H141" s="797">
        <f t="shared" si="50"/>
        <v>1660.269027320815</v>
      </c>
      <c r="I141" s="25">
        <f t="shared" si="43"/>
        <v>691120.36536818556</v>
      </c>
      <c r="J141" s="797">
        <v>20</v>
      </c>
      <c r="K141" s="797">
        <f t="shared" si="44"/>
        <v>34556.01826840928</v>
      </c>
      <c r="L141" s="698"/>
      <c r="M141" s="698"/>
      <c r="N141" s="189" t="s">
        <v>1260</v>
      </c>
      <c r="O141" s="810">
        <f t="shared" si="45"/>
        <v>40968</v>
      </c>
      <c r="P141" s="810">
        <v>40971</v>
      </c>
      <c r="Q141" s="811" t="s">
        <v>941</v>
      </c>
      <c r="R141" s="304">
        <v>20</v>
      </c>
      <c r="S141" s="842">
        <v>32878</v>
      </c>
      <c r="T141" s="25">
        <f t="shared" si="46"/>
        <v>657560</v>
      </c>
      <c r="U141" s="451"/>
      <c r="V141" s="810"/>
      <c r="W141" s="842"/>
      <c r="X141" s="842"/>
      <c r="Y141" s="25">
        <f t="shared" si="47"/>
        <v>0</v>
      </c>
    </row>
    <row r="142" spans="1:25">
      <c r="A142" s="847">
        <f t="shared" si="41"/>
        <v>137</v>
      </c>
      <c r="B142" s="297" t="s">
        <v>1485</v>
      </c>
      <c r="C142" s="25">
        <f t="shared" si="42"/>
        <v>227968</v>
      </c>
      <c r="D142" s="797">
        <f t="shared" si="50"/>
        <v>188499.99091123915</v>
      </c>
      <c r="E142" s="797">
        <f t="shared" si="50"/>
        <v>21097.04978823187</v>
      </c>
      <c r="F142" s="797">
        <f t="shared" si="50"/>
        <v>115062.07623652591</v>
      </c>
      <c r="G142" s="797">
        <f t="shared" si="50"/>
        <v>85257.121044116837</v>
      </c>
      <c r="H142" s="797">
        <f t="shared" si="50"/>
        <v>21334.457001072475</v>
      </c>
      <c r="I142" s="25">
        <f t="shared" si="43"/>
        <v>659218.69498118619</v>
      </c>
      <c r="J142" s="797">
        <v>257</v>
      </c>
      <c r="K142" s="797">
        <f t="shared" si="44"/>
        <v>2565.0532878645377</v>
      </c>
      <c r="L142" s="698"/>
      <c r="M142" s="698"/>
      <c r="N142" s="297" t="s">
        <v>1366</v>
      </c>
      <c r="O142" s="810">
        <f t="shared" si="45"/>
        <v>40968</v>
      </c>
      <c r="P142" s="810">
        <v>40971</v>
      </c>
      <c r="Q142" s="811" t="s">
        <v>941</v>
      </c>
      <c r="R142" s="304">
        <v>26</v>
      </c>
      <c r="S142" s="842">
        <v>8768</v>
      </c>
      <c r="T142" s="25">
        <f t="shared" si="46"/>
        <v>227968</v>
      </c>
      <c r="U142" s="451"/>
      <c r="V142" s="810"/>
      <c r="W142" s="842"/>
      <c r="X142" s="842"/>
      <c r="Y142" s="25">
        <f t="shared" si="47"/>
        <v>0</v>
      </c>
    </row>
    <row r="143" spans="1:25">
      <c r="A143" s="847">
        <f t="shared" ref="A143:A164" si="51">IF(B143&lt;&gt;"",A142+1,"")</f>
        <v>138</v>
      </c>
      <c r="B143" s="297" t="s">
        <v>1490</v>
      </c>
      <c r="C143" s="25">
        <f t="shared" ref="C143:C164" si="52">T143</f>
        <v>1885725</v>
      </c>
      <c r="D143" s="797">
        <f t="shared" si="50"/>
        <v>168696.48992056423</v>
      </c>
      <c r="E143" s="797">
        <f t="shared" si="50"/>
        <v>18880.628215149147</v>
      </c>
      <c r="F143" s="797">
        <f t="shared" si="50"/>
        <v>102973.84254630725</v>
      </c>
      <c r="G143" s="797">
        <f t="shared" si="50"/>
        <v>76300.147237925587</v>
      </c>
      <c r="H143" s="797">
        <f t="shared" si="50"/>
        <v>19093.093814189375</v>
      </c>
      <c r="I143" s="25">
        <f t="shared" ref="I143:I164" si="53">SUM(C143:H143)</f>
        <v>2271669.2017341359</v>
      </c>
      <c r="J143" s="797">
        <v>230</v>
      </c>
      <c r="K143" s="797">
        <f t="shared" ref="K143:K164" si="54">IF(J143&lt;&gt;"",I143/J143,"")</f>
        <v>9876.8226162353731</v>
      </c>
      <c r="L143" s="698"/>
      <c r="M143" s="698"/>
      <c r="N143" s="189" t="s">
        <v>611</v>
      </c>
      <c r="O143" s="810">
        <f t="shared" ref="O143:O164" si="55">P143-3</f>
        <v>40971</v>
      </c>
      <c r="P143" s="810">
        <v>40974</v>
      </c>
      <c r="Q143" s="811" t="s">
        <v>942</v>
      </c>
      <c r="R143" s="304">
        <v>85</v>
      </c>
      <c r="S143" s="842">
        <v>22185</v>
      </c>
      <c r="T143" s="25">
        <f t="shared" ref="T143:T164" si="56">ROUND(R143*S143,0)</f>
        <v>1885725</v>
      </c>
      <c r="U143" s="451"/>
      <c r="V143" s="810"/>
      <c r="W143" s="842"/>
      <c r="X143" s="842"/>
      <c r="Y143" s="25">
        <f t="shared" ref="Y143:Y164" si="57">W143*X143</f>
        <v>0</v>
      </c>
    </row>
    <row r="144" spans="1:25">
      <c r="A144" s="847">
        <f t="shared" si="51"/>
        <v>139</v>
      </c>
      <c r="B144" s="297" t="s">
        <v>1155</v>
      </c>
      <c r="C144" s="25">
        <f t="shared" si="52"/>
        <v>1534400</v>
      </c>
      <c r="D144" s="797">
        <f t="shared" si="50"/>
        <v>73346.299965462706</v>
      </c>
      <c r="E144" s="797">
        <f t="shared" si="50"/>
        <v>8208.9687891952799</v>
      </c>
      <c r="F144" s="797">
        <f t="shared" si="50"/>
        <v>44771.235889698801</v>
      </c>
      <c r="G144" s="797">
        <f t="shared" si="50"/>
        <v>33173.977059967641</v>
      </c>
      <c r="H144" s="797">
        <f t="shared" si="50"/>
        <v>8301.3451366040754</v>
      </c>
      <c r="I144" s="25">
        <f t="shared" si="53"/>
        <v>1702201.8268409283</v>
      </c>
      <c r="J144" s="797">
        <v>100</v>
      </c>
      <c r="K144" s="797">
        <f t="shared" si="54"/>
        <v>17022.018268409283</v>
      </c>
      <c r="L144" s="698"/>
      <c r="M144" s="698"/>
      <c r="N144" s="189" t="s">
        <v>1377</v>
      </c>
      <c r="O144" s="810">
        <f t="shared" si="55"/>
        <v>40971</v>
      </c>
      <c r="P144" s="810">
        <v>40974</v>
      </c>
      <c r="Q144" s="811" t="s">
        <v>943</v>
      </c>
      <c r="R144" s="304">
        <v>100</v>
      </c>
      <c r="S144" s="842">
        <v>15344</v>
      </c>
      <c r="T144" s="25">
        <f t="shared" si="56"/>
        <v>1534400</v>
      </c>
      <c r="U144" s="451"/>
      <c r="V144" s="810"/>
      <c r="W144" s="842"/>
      <c r="X144" s="842"/>
      <c r="Y144" s="25">
        <f t="shared" si="57"/>
        <v>0</v>
      </c>
    </row>
    <row r="145" spans="1:25">
      <c r="A145" s="847">
        <f t="shared" si="51"/>
        <v>140</v>
      </c>
      <c r="B145" s="297" t="s">
        <v>1491</v>
      </c>
      <c r="C145" s="25">
        <f t="shared" si="52"/>
        <v>5328900</v>
      </c>
      <c r="D145" s="797">
        <f t="shared" si="50"/>
        <v>364531.11082834966</v>
      </c>
      <c r="E145" s="797">
        <f t="shared" si="50"/>
        <v>40798.574882300542</v>
      </c>
      <c r="F145" s="797">
        <f t="shared" si="50"/>
        <v>222513.04237180305</v>
      </c>
      <c r="G145" s="797">
        <f t="shared" si="50"/>
        <v>164874.6659880392</v>
      </c>
      <c r="H145" s="797">
        <f t="shared" si="50"/>
        <v>41257.685328922256</v>
      </c>
      <c r="I145" s="25">
        <f t="shared" si="53"/>
        <v>6162875.0793994144</v>
      </c>
      <c r="J145" s="797">
        <v>497</v>
      </c>
      <c r="K145" s="797">
        <f t="shared" si="54"/>
        <v>12400.151065189968</v>
      </c>
      <c r="L145" s="698"/>
      <c r="M145" s="698"/>
      <c r="N145" s="189" t="s">
        <v>646</v>
      </c>
      <c r="O145" s="810">
        <f t="shared" si="55"/>
        <v>40974</v>
      </c>
      <c r="P145" s="810">
        <v>40977</v>
      </c>
      <c r="Q145" s="811" t="s">
        <v>944</v>
      </c>
      <c r="R145" s="304">
        <v>300</v>
      </c>
      <c r="S145" s="842">
        <v>17763</v>
      </c>
      <c r="T145" s="25">
        <f t="shared" si="56"/>
        <v>5328900</v>
      </c>
      <c r="U145" s="451"/>
      <c r="V145" s="810"/>
      <c r="W145" s="842"/>
      <c r="X145" s="842"/>
      <c r="Y145" s="25">
        <f t="shared" si="57"/>
        <v>0</v>
      </c>
    </row>
    <row r="146" spans="1:25">
      <c r="A146" s="847">
        <f t="shared" si="51"/>
        <v>141</v>
      </c>
      <c r="B146" s="297" t="s">
        <v>1492</v>
      </c>
      <c r="C146" s="25">
        <f t="shared" si="52"/>
        <v>96448</v>
      </c>
      <c r="D146" s="797">
        <f t="shared" ref="D146:H155" si="58">IF($J$192&lt;&gt;0,D$192/$J$192*$J146,0)</f>
        <v>936632.25055895874</v>
      </c>
      <c r="E146" s="797">
        <f t="shared" si="58"/>
        <v>104828.53143802374</v>
      </c>
      <c r="F146" s="797">
        <f t="shared" si="58"/>
        <v>571728.68231145374</v>
      </c>
      <c r="G146" s="797">
        <f t="shared" si="58"/>
        <v>423631.68705578678</v>
      </c>
      <c r="H146" s="797">
        <f t="shared" si="58"/>
        <v>106008.17739443404</v>
      </c>
      <c r="I146" s="25">
        <f t="shared" si="53"/>
        <v>2239277.3287586565</v>
      </c>
      <c r="J146" s="797">
        <v>1277</v>
      </c>
      <c r="K146" s="797">
        <f t="shared" si="54"/>
        <v>1753.5452848540772</v>
      </c>
      <c r="L146" s="698"/>
      <c r="M146" s="698"/>
      <c r="N146" s="297" t="s">
        <v>1366</v>
      </c>
      <c r="O146" s="810">
        <f t="shared" si="55"/>
        <v>40975</v>
      </c>
      <c r="P146" s="810">
        <v>40978</v>
      </c>
      <c r="Q146" s="811" t="s">
        <v>912</v>
      </c>
      <c r="R146" s="304">
        <v>11</v>
      </c>
      <c r="S146" s="842">
        <v>8768</v>
      </c>
      <c r="T146" s="25">
        <f t="shared" si="56"/>
        <v>96448</v>
      </c>
      <c r="U146" s="451"/>
      <c r="V146" s="810"/>
      <c r="W146" s="842"/>
      <c r="X146" s="842"/>
      <c r="Y146" s="25">
        <f t="shared" si="57"/>
        <v>0</v>
      </c>
    </row>
    <row r="147" spans="1:25">
      <c r="A147" s="847">
        <f t="shared" si="51"/>
        <v>142</v>
      </c>
      <c r="B147" s="297" t="s">
        <v>1493</v>
      </c>
      <c r="C147" s="25">
        <f t="shared" si="52"/>
        <v>5935904</v>
      </c>
      <c r="D147" s="797">
        <f t="shared" si="58"/>
        <v>957169.21454928839</v>
      </c>
      <c r="E147" s="797">
        <f t="shared" si="58"/>
        <v>107127.04269899841</v>
      </c>
      <c r="F147" s="797">
        <f t="shared" si="58"/>
        <v>584264.62836056936</v>
      </c>
      <c r="G147" s="797">
        <f t="shared" si="58"/>
        <v>432920.40063257777</v>
      </c>
      <c r="H147" s="797">
        <f t="shared" si="58"/>
        <v>108332.55403268318</v>
      </c>
      <c r="I147" s="25">
        <f t="shared" si="53"/>
        <v>8125717.840274117</v>
      </c>
      <c r="J147" s="797">
        <v>1305</v>
      </c>
      <c r="K147" s="797">
        <f t="shared" si="54"/>
        <v>6226.6037090223117</v>
      </c>
      <c r="L147" s="698"/>
      <c r="M147" s="698"/>
      <c r="N147" s="192" t="s">
        <v>663</v>
      </c>
      <c r="O147" s="810">
        <f t="shared" si="55"/>
        <v>40975</v>
      </c>
      <c r="P147" s="810">
        <v>40978</v>
      </c>
      <c r="Q147" s="811" t="s">
        <v>912</v>
      </c>
      <c r="R147" s="304">
        <v>208</v>
      </c>
      <c r="S147" s="842">
        <v>28538</v>
      </c>
      <c r="T147" s="25">
        <f t="shared" si="56"/>
        <v>5935904</v>
      </c>
      <c r="U147" s="451"/>
      <c r="V147" s="810"/>
      <c r="W147" s="842"/>
      <c r="X147" s="842"/>
      <c r="Y147" s="25">
        <f t="shared" si="57"/>
        <v>0</v>
      </c>
    </row>
    <row r="148" spans="1:25">
      <c r="A148" s="847">
        <f t="shared" si="51"/>
        <v>143</v>
      </c>
      <c r="B148" s="297" t="s">
        <v>1494</v>
      </c>
      <c r="C148" s="25">
        <f t="shared" si="52"/>
        <v>1547512</v>
      </c>
      <c r="D148" s="797">
        <f t="shared" si="58"/>
        <v>220772.36289604276</v>
      </c>
      <c r="E148" s="797">
        <f t="shared" si="58"/>
        <v>24708.996055477794</v>
      </c>
      <c r="F148" s="797">
        <f t="shared" si="58"/>
        <v>134761.42002799339</v>
      </c>
      <c r="G148" s="797">
        <f t="shared" si="58"/>
        <v>99853.670950502608</v>
      </c>
      <c r="H148" s="797">
        <f t="shared" si="58"/>
        <v>24987.048861178268</v>
      </c>
      <c r="I148" s="25">
        <f t="shared" si="53"/>
        <v>2052595.498791195</v>
      </c>
      <c r="J148" s="797">
        <v>301</v>
      </c>
      <c r="K148" s="797">
        <f t="shared" si="54"/>
        <v>6819.2541488079569</v>
      </c>
      <c r="L148" s="698"/>
      <c r="M148" s="698"/>
      <c r="N148" s="189" t="s">
        <v>1371</v>
      </c>
      <c r="O148" s="810">
        <f t="shared" si="55"/>
        <v>40975</v>
      </c>
      <c r="P148" s="810">
        <v>40978</v>
      </c>
      <c r="Q148" s="811" t="s">
        <v>912</v>
      </c>
      <c r="R148" s="304">
        <v>76</v>
      </c>
      <c r="S148" s="842">
        <v>20362</v>
      </c>
      <c r="T148" s="25">
        <f t="shared" si="56"/>
        <v>1547512</v>
      </c>
      <c r="U148" s="451"/>
      <c r="V148" s="810"/>
      <c r="W148" s="842"/>
      <c r="X148" s="842"/>
      <c r="Y148" s="25">
        <f t="shared" si="57"/>
        <v>0</v>
      </c>
    </row>
    <row r="149" spans="1:25">
      <c r="A149" s="847">
        <f t="shared" si="51"/>
        <v>144</v>
      </c>
      <c r="B149" s="297" t="s">
        <v>1131</v>
      </c>
      <c r="C149" s="25">
        <f t="shared" si="52"/>
        <v>1056500</v>
      </c>
      <c r="D149" s="797">
        <f t="shared" si="58"/>
        <v>161361.85992401795</v>
      </c>
      <c r="E149" s="797">
        <f t="shared" si="58"/>
        <v>18059.731336229619</v>
      </c>
      <c r="F149" s="797">
        <f t="shared" si="58"/>
        <v>98496.718957337362</v>
      </c>
      <c r="G149" s="797">
        <f t="shared" si="58"/>
        <v>72982.749531928814</v>
      </c>
      <c r="H149" s="797">
        <f t="shared" si="58"/>
        <v>18262.959300528964</v>
      </c>
      <c r="I149" s="25">
        <f t="shared" si="53"/>
        <v>1425664.0190500428</v>
      </c>
      <c r="J149" s="797">
        <v>220</v>
      </c>
      <c r="K149" s="797">
        <f t="shared" si="54"/>
        <v>6480.2909956820131</v>
      </c>
      <c r="L149" s="698"/>
      <c r="M149" s="698"/>
      <c r="N149" s="189" t="s">
        <v>648</v>
      </c>
      <c r="O149" s="810">
        <f t="shared" si="55"/>
        <v>40975</v>
      </c>
      <c r="P149" s="810">
        <v>40978</v>
      </c>
      <c r="Q149" s="811" t="s">
        <v>912</v>
      </c>
      <c r="R149" s="304">
        <v>50</v>
      </c>
      <c r="S149" s="842">
        <v>21130</v>
      </c>
      <c r="T149" s="25">
        <f t="shared" si="56"/>
        <v>1056500</v>
      </c>
      <c r="U149" s="451"/>
      <c r="V149" s="810"/>
      <c r="W149" s="842"/>
      <c r="X149" s="842"/>
      <c r="Y149" s="25">
        <f t="shared" si="57"/>
        <v>0</v>
      </c>
    </row>
    <row r="150" spans="1:25">
      <c r="A150" s="847">
        <f t="shared" si="51"/>
        <v>145</v>
      </c>
      <c r="B150" s="297" t="s">
        <v>1143</v>
      </c>
      <c r="C150" s="25">
        <f t="shared" si="52"/>
        <v>8765640</v>
      </c>
      <c r="D150" s="797">
        <f t="shared" si="58"/>
        <v>726861.83265773545</v>
      </c>
      <c r="E150" s="797">
        <f t="shared" si="58"/>
        <v>81350.880700925234</v>
      </c>
      <c r="F150" s="797">
        <f t="shared" si="58"/>
        <v>443682.94766691513</v>
      </c>
      <c r="G150" s="797">
        <f t="shared" si="58"/>
        <v>328754.11266427935</v>
      </c>
      <c r="H150" s="797">
        <f t="shared" si="58"/>
        <v>82266.330303746392</v>
      </c>
      <c r="I150" s="25">
        <f t="shared" si="53"/>
        <v>10428556.103993602</v>
      </c>
      <c r="J150" s="797">
        <v>991</v>
      </c>
      <c r="K150" s="797">
        <f t="shared" si="54"/>
        <v>10523.265493434512</v>
      </c>
      <c r="L150" s="698"/>
      <c r="M150" s="698"/>
      <c r="N150" s="189" t="s">
        <v>1370</v>
      </c>
      <c r="O150" s="810">
        <f t="shared" si="55"/>
        <v>40977</v>
      </c>
      <c r="P150" s="810">
        <v>40980</v>
      </c>
      <c r="Q150" s="811" t="s">
        <v>946</v>
      </c>
      <c r="R150" s="304">
        <v>585</v>
      </c>
      <c r="S150" s="842">
        <v>14984</v>
      </c>
      <c r="T150" s="25">
        <f t="shared" si="56"/>
        <v>8765640</v>
      </c>
      <c r="U150" s="451"/>
      <c r="V150" s="810"/>
      <c r="W150" s="842"/>
      <c r="X150" s="842"/>
      <c r="Y150" s="25">
        <f t="shared" si="57"/>
        <v>0</v>
      </c>
    </row>
    <row r="151" spans="1:25">
      <c r="A151" s="847">
        <f t="shared" si="51"/>
        <v>146</v>
      </c>
      <c r="B151" s="297" t="s">
        <v>1033</v>
      </c>
      <c r="C151" s="25">
        <f t="shared" si="52"/>
        <v>3594150</v>
      </c>
      <c r="D151" s="797">
        <f t="shared" si="58"/>
        <v>514157.56275789358</v>
      </c>
      <c r="E151" s="797">
        <f t="shared" si="58"/>
        <v>57544.87121225892</v>
      </c>
      <c r="F151" s="797">
        <f t="shared" si="58"/>
        <v>313846.36358678859</v>
      </c>
      <c r="G151" s="797">
        <f t="shared" si="58"/>
        <v>232549.57919037319</v>
      </c>
      <c r="H151" s="797">
        <f t="shared" si="58"/>
        <v>58192.429407594573</v>
      </c>
      <c r="I151" s="25">
        <f t="shared" si="53"/>
        <v>4770440.8061549095</v>
      </c>
      <c r="J151" s="797">
        <v>701</v>
      </c>
      <c r="K151" s="797">
        <f t="shared" si="54"/>
        <v>6805.1937320326815</v>
      </c>
      <c r="L151" s="698"/>
      <c r="M151" s="698"/>
      <c r="N151" s="192" t="s">
        <v>661</v>
      </c>
      <c r="O151" s="810">
        <f t="shared" si="55"/>
        <v>40977</v>
      </c>
      <c r="P151" s="810">
        <v>40980</v>
      </c>
      <c r="Q151" s="811" t="s">
        <v>947</v>
      </c>
      <c r="R151" s="304">
        <v>225</v>
      </c>
      <c r="S151" s="842">
        <v>15974</v>
      </c>
      <c r="T151" s="25">
        <f t="shared" si="56"/>
        <v>3594150</v>
      </c>
      <c r="U151" s="451"/>
      <c r="V151" s="810"/>
      <c r="W151" s="842"/>
      <c r="X151" s="842"/>
      <c r="Y151" s="25">
        <f t="shared" si="57"/>
        <v>0</v>
      </c>
    </row>
    <row r="152" spans="1:25">
      <c r="A152" s="847">
        <f t="shared" si="51"/>
        <v>147</v>
      </c>
      <c r="B152" s="297" t="s">
        <v>1169</v>
      </c>
      <c r="C152" s="25">
        <f t="shared" si="52"/>
        <v>1733100</v>
      </c>
      <c r="D152" s="797">
        <f t="shared" si="58"/>
        <v>219305.4368967335</v>
      </c>
      <c r="E152" s="797">
        <f t="shared" si="58"/>
        <v>24544.816679693889</v>
      </c>
      <c r="F152" s="797">
        <f t="shared" si="58"/>
        <v>133865.99531019942</v>
      </c>
      <c r="G152" s="797">
        <f t="shared" si="58"/>
        <v>99190.191409303254</v>
      </c>
      <c r="H152" s="797">
        <f t="shared" si="58"/>
        <v>24821.021958446185</v>
      </c>
      <c r="I152" s="25">
        <f t="shared" si="53"/>
        <v>2234827.4622543762</v>
      </c>
      <c r="J152" s="797">
        <v>299</v>
      </c>
      <c r="K152" s="797">
        <f t="shared" si="54"/>
        <v>7474.3393386433982</v>
      </c>
      <c r="L152" s="698"/>
      <c r="M152" s="698"/>
      <c r="N152" s="189" t="s">
        <v>639</v>
      </c>
      <c r="O152" s="810">
        <f t="shared" si="55"/>
        <v>40977</v>
      </c>
      <c r="P152" s="810">
        <v>40980</v>
      </c>
      <c r="Q152" s="811" t="s">
        <v>947</v>
      </c>
      <c r="R152" s="304">
        <v>150</v>
      </c>
      <c r="S152" s="842">
        <v>11554</v>
      </c>
      <c r="T152" s="25">
        <f t="shared" si="56"/>
        <v>1733100</v>
      </c>
      <c r="U152" s="451"/>
      <c r="V152" s="810"/>
      <c r="W152" s="842"/>
      <c r="X152" s="842"/>
      <c r="Y152" s="25">
        <f t="shared" si="57"/>
        <v>0</v>
      </c>
    </row>
    <row r="153" spans="1:25">
      <c r="A153" s="847">
        <f t="shared" si="51"/>
        <v>148</v>
      </c>
      <c r="B153" s="297" t="s">
        <v>1095</v>
      </c>
      <c r="C153" s="25">
        <f t="shared" si="52"/>
        <v>320180</v>
      </c>
      <c r="D153" s="797">
        <f t="shared" si="58"/>
        <v>41073.927980659115</v>
      </c>
      <c r="E153" s="797">
        <f t="shared" si="58"/>
        <v>4597.0225219493568</v>
      </c>
      <c r="F153" s="797">
        <f t="shared" si="58"/>
        <v>25071.892098231328</v>
      </c>
      <c r="G153" s="797">
        <f t="shared" si="58"/>
        <v>18577.427153581881</v>
      </c>
      <c r="H153" s="797">
        <f t="shared" si="58"/>
        <v>4648.7532764982825</v>
      </c>
      <c r="I153" s="25">
        <f t="shared" si="53"/>
        <v>414149.02303091995</v>
      </c>
      <c r="J153" s="797">
        <v>56</v>
      </c>
      <c r="K153" s="797">
        <f t="shared" si="54"/>
        <v>7395.5182684092852</v>
      </c>
      <c r="L153" s="698"/>
      <c r="M153" s="698"/>
      <c r="N153" s="189" t="s">
        <v>1246</v>
      </c>
      <c r="O153" s="810">
        <f t="shared" si="55"/>
        <v>40977</v>
      </c>
      <c r="P153" s="810">
        <v>40980</v>
      </c>
      <c r="Q153" s="811" t="s">
        <v>947</v>
      </c>
      <c r="R153" s="304">
        <v>28</v>
      </c>
      <c r="S153" s="842">
        <v>11435</v>
      </c>
      <c r="T153" s="25">
        <f t="shared" si="56"/>
        <v>320180</v>
      </c>
      <c r="U153" s="451"/>
      <c r="V153" s="810"/>
      <c r="W153" s="842"/>
      <c r="X153" s="842"/>
      <c r="Y153" s="25">
        <f t="shared" si="57"/>
        <v>0</v>
      </c>
    </row>
    <row r="154" spans="1:25">
      <c r="A154" s="847">
        <f t="shared" si="51"/>
        <v>149</v>
      </c>
      <c r="B154" s="297" t="s">
        <v>1168</v>
      </c>
      <c r="C154" s="25">
        <f t="shared" si="52"/>
        <v>503140</v>
      </c>
      <c r="D154" s="797">
        <f t="shared" si="58"/>
        <v>49875.483976514639</v>
      </c>
      <c r="E154" s="797">
        <f t="shared" si="58"/>
        <v>5582.0987766527905</v>
      </c>
      <c r="F154" s="797">
        <f t="shared" si="58"/>
        <v>30444.440404995185</v>
      </c>
      <c r="G154" s="797">
        <f t="shared" si="58"/>
        <v>22558.304400777997</v>
      </c>
      <c r="H154" s="797">
        <f t="shared" si="58"/>
        <v>5644.9146928907712</v>
      </c>
      <c r="I154" s="25">
        <f t="shared" si="53"/>
        <v>617245.24225183146</v>
      </c>
      <c r="J154" s="797">
        <v>68</v>
      </c>
      <c r="K154" s="797">
        <f t="shared" si="54"/>
        <v>9077.1359154681104</v>
      </c>
      <c r="L154" s="698"/>
      <c r="M154" s="698"/>
      <c r="N154" s="189" t="s">
        <v>1246</v>
      </c>
      <c r="O154" s="810">
        <f t="shared" si="55"/>
        <v>40977</v>
      </c>
      <c r="P154" s="810">
        <v>40980</v>
      </c>
      <c r="Q154" s="811" t="s">
        <v>947</v>
      </c>
      <c r="R154" s="304">
        <v>44</v>
      </c>
      <c r="S154" s="842">
        <v>11435</v>
      </c>
      <c r="T154" s="25">
        <f t="shared" si="56"/>
        <v>503140</v>
      </c>
      <c r="U154" s="451"/>
      <c r="V154" s="810"/>
      <c r="W154" s="842"/>
      <c r="X154" s="842"/>
      <c r="Y154" s="25">
        <f t="shared" si="57"/>
        <v>0</v>
      </c>
    </row>
    <row r="155" spans="1:25">
      <c r="A155" s="847">
        <f t="shared" si="51"/>
        <v>150</v>
      </c>
      <c r="B155" s="297" t="s">
        <v>1069</v>
      </c>
      <c r="C155" s="25">
        <f t="shared" si="52"/>
        <v>595045</v>
      </c>
      <c r="D155" s="797">
        <f t="shared" si="58"/>
        <v>79214.003962699731</v>
      </c>
      <c r="E155" s="797">
        <f t="shared" si="58"/>
        <v>8865.6862923309036</v>
      </c>
      <c r="F155" s="797">
        <f t="shared" si="58"/>
        <v>48352.934760874705</v>
      </c>
      <c r="G155" s="797">
        <f t="shared" si="58"/>
        <v>35827.895224765052</v>
      </c>
      <c r="H155" s="797">
        <f t="shared" si="58"/>
        <v>8965.4527475324012</v>
      </c>
      <c r="I155" s="25">
        <f t="shared" si="53"/>
        <v>776270.97298820282</v>
      </c>
      <c r="J155" s="797">
        <v>108</v>
      </c>
      <c r="K155" s="797">
        <f t="shared" si="54"/>
        <v>7187.6941943352113</v>
      </c>
      <c r="L155" s="698"/>
      <c r="M155" s="698"/>
      <c r="N155" s="192" t="s">
        <v>654</v>
      </c>
      <c r="O155" s="810">
        <f t="shared" si="55"/>
        <v>40977</v>
      </c>
      <c r="P155" s="810">
        <v>40980</v>
      </c>
      <c r="Q155" s="811" t="s">
        <v>947</v>
      </c>
      <c r="R155" s="304">
        <v>55</v>
      </c>
      <c r="S155" s="842">
        <v>10819</v>
      </c>
      <c r="T155" s="25">
        <f t="shared" si="56"/>
        <v>595045</v>
      </c>
      <c r="U155" s="451"/>
      <c r="V155" s="810"/>
      <c r="W155" s="842"/>
      <c r="X155" s="842"/>
      <c r="Y155" s="25">
        <f t="shared" si="57"/>
        <v>0</v>
      </c>
    </row>
    <row r="156" spans="1:25">
      <c r="A156" s="847">
        <f t="shared" si="51"/>
        <v>151</v>
      </c>
      <c r="B156" s="297" t="s">
        <v>1238</v>
      </c>
      <c r="C156" s="25">
        <f t="shared" si="52"/>
        <v>10130000</v>
      </c>
      <c r="D156" s="797">
        <f t="shared" ref="D156:H164" si="59">IF($J$192&lt;&gt;0,D$192/$J$192*$J156,0)</f>
        <v>2189387.0539690619</v>
      </c>
      <c r="E156" s="797">
        <f t="shared" si="59"/>
        <v>245037.71835747911</v>
      </c>
      <c r="F156" s="797">
        <f t="shared" si="59"/>
        <v>1336421.3913075093</v>
      </c>
      <c r="G156" s="797">
        <f t="shared" si="59"/>
        <v>990243.21524003416</v>
      </c>
      <c r="H156" s="797">
        <f t="shared" si="59"/>
        <v>247795.15232763166</v>
      </c>
      <c r="I156" s="25">
        <f t="shared" si="53"/>
        <v>15138884.531201717</v>
      </c>
      <c r="J156" s="797">
        <v>2985</v>
      </c>
      <c r="K156" s="797">
        <f t="shared" si="54"/>
        <v>5071.653109280307</v>
      </c>
      <c r="L156" s="698"/>
      <c r="M156" s="698"/>
      <c r="N156" s="192" t="s">
        <v>676</v>
      </c>
      <c r="O156" s="810">
        <f t="shared" si="55"/>
        <v>40985</v>
      </c>
      <c r="P156" s="810">
        <v>40988</v>
      </c>
      <c r="Q156" s="811" t="s">
        <v>949</v>
      </c>
      <c r="R156" s="304">
        <v>1000</v>
      </c>
      <c r="S156" s="842">
        <v>10130</v>
      </c>
      <c r="T156" s="25">
        <f t="shared" si="56"/>
        <v>10130000</v>
      </c>
      <c r="U156" s="451"/>
      <c r="V156" s="810"/>
      <c r="W156" s="842"/>
      <c r="X156" s="842"/>
      <c r="Y156" s="25">
        <f t="shared" si="57"/>
        <v>0</v>
      </c>
    </row>
    <row r="157" spans="1:25">
      <c r="A157" s="847">
        <f t="shared" si="51"/>
        <v>152</v>
      </c>
      <c r="B157" s="297" t="s">
        <v>1166</v>
      </c>
      <c r="C157" s="25">
        <f t="shared" si="52"/>
        <v>1184750</v>
      </c>
      <c r="D157" s="797">
        <f t="shared" si="59"/>
        <v>456213.98578517803</v>
      </c>
      <c r="E157" s="797">
        <f t="shared" si="59"/>
        <v>51059.785868794643</v>
      </c>
      <c r="F157" s="797">
        <f t="shared" si="59"/>
        <v>278477.08723392652</v>
      </c>
      <c r="G157" s="797">
        <f t="shared" si="59"/>
        <v>206342.13731299873</v>
      </c>
      <c r="H157" s="797">
        <f t="shared" si="59"/>
        <v>51634.366749677349</v>
      </c>
      <c r="I157" s="25">
        <f t="shared" si="53"/>
        <v>2228477.3629505751</v>
      </c>
      <c r="J157" s="797">
        <v>622</v>
      </c>
      <c r="K157" s="797">
        <f t="shared" si="54"/>
        <v>3582.7610336825965</v>
      </c>
      <c r="L157" s="698"/>
      <c r="M157" s="698"/>
      <c r="N157" s="297" t="s">
        <v>1575</v>
      </c>
      <c r="O157" s="810">
        <f t="shared" si="55"/>
        <v>40985</v>
      </c>
      <c r="P157" s="810">
        <v>40988</v>
      </c>
      <c r="Q157" s="811" t="s">
        <v>949</v>
      </c>
      <c r="R157" s="304">
        <v>70</v>
      </c>
      <c r="S157" s="842">
        <v>16925</v>
      </c>
      <c r="T157" s="25">
        <f t="shared" si="56"/>
        <v>1184750</v>
      </c>
      <c r="U157" s="451"/>
      <c r="V157" s="810"/>
      <c r="W157" s="842"/>
      <c r="X157" s="842"/>
      <c r="Y157" s="25">
        <f t="shared" si="57"/>
        <v>0</v>
      </c>
    </row>
    <row r="158" spans="1:25">
      <c r="A158" s="847">
        <f t="shared" si="51"/>
        <v>153</v>
      </c>
      <c r="B158" s="297" t="s">
        <v>1237</v>
      </c>
      <c r="C158" s="25">
        <f t="shared" si="52"/>
        <v>9831360</v>
      </c>
      <c r="D158" s="797">
        <f t="shared" si="59"/>
        <v>755466.88964426587</v>
      </c>
      <c r="E158" s="797">
        <f t="shared" si="59"/>
        <v>84552.378528711386</v>
      </c>
      <c r="F158" s="797">
        <f t="shared" si="59"/>
        <v>461143.72966389765</v>
      </c>
      <c r="G158" s="797">
        <f t="shared" si="59"/>
        <v>341691.96371766675</v>
      </c>
      <c r="H158" s="797">
        <f t="shared" si="59"/>
        <v>85503.854907021974</v>
      </c>
      <c r="I158" s="25">
        <f t="shared" si="53"/>
        <v>11559718.816461563</v>
      </c>
      <c r="J158" s="797">
        <v>1030</v>
      </c>
      <c r="K158" s="797">
        <f t="shared" si="54"/>
        <v>11223.027977147149</v>
      </c>
      <c r="L158" s="698"/>
      <c r="M158" s="698"/>
      <c r="N158" s="192" t="s">
        <v>669</v>
      </c>
      <c r="O158" s="810">
        <f t="shared" si="55"/>
        <v>40986</v>
      </c>
      <c r="P158" s="810">
        <v>40989</v>
      </c>
      <c r="Q158" s="811" t="s">
        <v>950</v>
      </c>
      <c r="R158" s="304">
        <v>760</v>
      </c>
      <c r="S158" s="842">
        <v>12936</v>
      </c>
      <c r="T158" s="25">
        <f t="shared" si="56"/>
        <v>9831360</v>
      </c>
      <c r="U158" s="451"/>
      <c r="V158" s="810"/>
      <c r="W158" s="842"/>
      <c r="X158" s="842"/>
      <c r="Y158" s="25">
        <f t="shared" si="57"/>
        <v>0</v>
      </c>
    </row>
    <row r="159" spans="1:25">
      <c r="A159" s="847">
        <f t="shared" si="51"/>
        <v>154</v>
      </c>
      <c r="B159" s="297" t="s">
        <v>952</v>
      </c>
      <c r="C159" s="25">
        <f t="shared" si="52"/>
        <v>4109070</v>
      </c>
      <c r="D159" s="797">
        <f t="shared" si="59"/>
        <v>154027.22992747169</v>
      </c>
      <c r="E159" s="797">
        <f t="shared" si="59"/>
        <v>17238.834457310088</v>
      </c>
      <c r="F159" s="797">
        <f t="shared" si="59"/>
        <v>94019.595368367474</v>
      </c>
      <c r="G159" s="797">
        <f t="shared" si="59"/>
        <v>69665.351825932055</v>
      </c>
      <c r="H159" s="797">
        <f t="shared" si="59"/>
        <v>17432.824786868558</v>
      </c>
      <c r="I159" s="25">
        <f t="shared" si="53"/>
        <v>4461453.8363659503</v>
      </c>
      <c r="J159" s="797">
        <v>210</v>
      </c>
      <c r="K159" s="797">
        <f t="shared" si="54"/>
        <v>21245.018268409287</v>
      </c>
      <c r="L159" s="698"/>
      <c r="M159" s="698"/>
      <c r="N159" s="189" t="s">
        <v>1373</v>
      </c>
      <c r="O159" s="810">
        <f t="shared" si="55"/>
        <v>40986</v>
      </c>
      <c r="P159" s="810">
        <v>40989</v>
      </c>
      <c r="Q159" s="811" t="s">
        <v>953</v>
      </c>
      <c r="R159" s="304">
        <v>210</v>
      </c>
      <c r="S159" s="842">
        <v>19567</v>
      </c>
      <c r="T159" s="25">
        <f t="shared" si="56"/>
        <v>4109070</v>
      </c>
      <c r="U159" s="451"/>
      <c r="V159" s="810"/>
      <c r="W159" s="842"/>
      <c r="X159" s="842"/>
      <c r="Y159" s="25">
        <f t="shared" si="57"/>
        <v>0</v>
      </c>
    </row>
    <row r="160" spans="1:25">
      <c r="A160" s="847">
        <f t="shared" si="51"/>
        <v>155</v>
      </c>
      <c r="B160" s="297" t="s">
        <v>1239</v>
      </c>
      <c r="C160" s="25">
        <f t="shared" si="52"/>
        <v>482240</v>
      </c>
      <c r="D160" s="797">
        <f t="shared" si="59"/>
        <v>154027.22992747169</v>
      </c>
      <c r="E160" s="797">
        <f t="shared" si="59"/>
        <v>17238.834457310088</v>
      </c>
      <c r="F160" s="797">
        <f t="shared" si="59"/>
        <v>94019.595368367474</v>
      </c>
      <c r="G160" s="797">
        <f t="shared" si="59"/>
        <v>69665.351825932055</v>
      </c>
      <c r="H160" s="797">
        <f t="shared" si="59"/>
        <v>17432.824786868558</v>
      </c>
      <c r="I160" s="25">
        <f t="shared" si="53"/>
        <v>834623.83636594983</v>
      </c>
      <c r="J160" s="797">
        <v>210</v>
      </c>
      <c r="K160" s="797">
        <f t="shared" si="54"/>
        <v>3974.3992207902375</v>
      </c>
      <c r="L160" s="698"/>
      <c r="M160" s="698"/>
      <c r="N160" s="297" t="s">
        <v>1366</v>
      </c>
      <c r="O160" s="810">
        <f t="shared" si="55"/>
        <v>40986</v>
      </c>
      <c r="P160" s="810">
        <v>40989</v>
      </c>
      <c r="Q160" s="811" t="s">
        <v>953</v>
      </c>
      <c r="R160" s="304">
        <v>55</v>
      </c>
      <c r="S160" s="842">
        <v>8768</v>
      </c>
      <c r="T160" s="25">
        <f t="shared" si="56"/>
        <v>482240</v>
      </c>
      <c r="U160" s="451"/>
      <c r="V160" s="810"/>
      <c r="W160" s="842"/>
      <c r="X160" s="842"/>
      <c r="Y160" s="25">
        <f t="shared" si="57"/>
        <v>0</v>
      </c>
    </row>
    <row r="161" spans="1:25">
      <c r="A161" s="847">
        <f t="shared" si="51"/>
        <v>156</v>
      </c>
      <c r="B161" s="297" t="s">
        <v>1206</v>
      </c>
      <c r="C161" s="25">
        <f t="shared" si="52"/>
        <v>4249800</v>
      </c>
      <c r="D161" s="797">
        <f t="shared" si="59"/>
        <v>225906.60389362514</v>
      </c>
      <c r="E161" s="797">
        <f t="shared" si="59"/>
        <v>25283.623870721465</v>
      </c>
      <c r="F161" s="797">
        <f t="shared" si="59"/>
        <v>137895.40654027229</v>
      </c>
      <c r="G161" s="797">
        <f t="shared" si="59"/>
        <v>102175.84934470034</v>
      </c>
      <c r="H161" s="797">
        <f t="shared" si="59"/>
        <v>25568.143020740554</v>
      </c>
      <c r="I161" s="25">
        <f t="shared" si="53"/>
        <v>4766629.6266700597</v>
      </c>
      <c r="J161" s="797">
        <v>308</v>
      </c>
      <c r="K161" s="797">
        <f t="shared" si="54"/>
        <v>15476.070216461232</v>
      </c>
      <c r="L161" s="698"/>
      <c r="M161" s="698"/>
      <c r="N161" s="189" t="s">
        <v>608</v>
      </c>
      <c r="O161" s="810">
        <f t="shared" si="55"/>
        <v>40986</v>
      </c>
      <c r="P161" s="810">
        <v>40989</v>
      </c>
      <c r="Q161" s="811" t="s">
        <v>955</v>
      </c>
      <c r="R161" s="304">
        <v>180</v>
      </c>
      <c r="S161" s="842">
        <v>23610</v>
      </c>
      <c r="T161" s="25">
        <f t="shared" si="56"/>
        <v>4249800</v>
      </c>
      <c r="U161" s="451"/>
      <c r="V161" s="810"/>
      <c r="W161" s="842"/>
      <c r="X161" s="842"/>
      <c r="Y161" s="25">
        <f t="shared" si="57"/>
        <v>0</v>
      </c>
    </row>
    <row r="162" spans="1:25">
      <c r="A162" s="847">
        <f t="shared" si="51"/>
        <v>157</v>
      </c>
      <c r="B162" s="297" t="s">
        <v>1229</v>
      </c>
      <c r="C162" s="25">
        <f t="shared" si="52"/>
        <v>6611072</v>
      </c>
      <c r="D162" s="797">
        <f t="shared" si="59"/>
        <v>1658359.8422191117</v>
      </c>
      <c r="E162" s="797">
        <f t="shared" si="59"/>
        <v>185604.7843237053</v>
      </c>
      <c r="F162" s="797">
        <f t="shared" si="59"/>
        <v>1012277.6434660899</v>
      </c>
      <c r="G162" s="797">
        <f t="shared" si="59"/>
        <v>750063.62132586841</v>
      </c>
      <c r="H162" s="797">
        <f t="shared" si="59"/>
        <v>187693.41353861816</v>
      </c>
      <c r="I162" s="25">
        <f t="shared" si="53"/>
        <v>10405071.304873394</v>
      </c>
      <c r="J162" s="797">
        <v>2261</v>
      </c>
      <c r="K162" s="797">
        <f t="shared" si="54"/>
        <v>4601.9775784490903</v>
      </c>
      <c r="L162" s="698"/>
      <c r="M162" s="698"/>
      <c r="N162" s="297" t="s">
        <v>1366</v>
      </c>
      <c r="O162" s="810">
        <f t="shared" si="55"/>
        <v>40992</v>
      </c>
      <c r="P162" s="810">
        <v>40995</v>
      </c>
      <c r="Q162" s="811" t="s">
        <v>956</v>
      </c>
      <c r="R162" s="304">
        <v>754</v>
      </c>
      <c r="S162" s="842">
        <v>8768</v>
      </c>
      <c r="T162" s="25">
        <f t="shared" si="56"/>
        <v>6611072</v>
      </c>
      <c r="U162" s="451"/>
      <c r="V162" s="810"/>
      <c r="W162" s="842"/>
      <c r="X162" s="842"/>
      <c r="Y162" s="25">
        <f t="shared" si="57"/>
        <v>0</v>
      </c>
    </row>
    <row r="163" spans="1:25">
      <c r="A163" s="847">
        <f t="shared" si="51"/>
        <v>158</v>
      </c>
      <c r="B163" s="297" t="s">
        <v>1227</v>
      </c>
      <c r="C163" s="25">
        <f t="shared" si="52"/>
        <v>741965</v>
      </c>
      <c r="D163" s="797">
        <f t="shared" si="59"/>
        <v>75546.68896442659</v>
      </c>
      <c r="E163" s="797">
        <f t="shared" si="59"/>
        <v>8455.2378528711397</v>
      </c>
      <c r="F163" s="797">
        <f t="shared" si="59"/>
        <v>46114.372966389768</v>
      </c>
      <c r="G163" s="797">
        <f t="shared" si="59"/>
        <v>34169.196371766673</v>
      </c>
      <c r="H163" s="797">
        <f t="shared" si="59"/>
        <v>8550.3854907021978</v>
      </c>
      <c r="I163" s="25">
        <f t="shared" si="53"/>
        <v>914800.88164615643</v>
      </c>
      <c r="J163" s="797">
        <v>103</v>
      </c>
      <c r="K163" s="797">
        <f t="shared" si="54"/>
        <v>8881.5619577296748</v>
      </c>
      <c r="L163" s="698"/>
      <c r="M163" s="698"/>
      <c r="N163" s="189" t="s">
        <v>613</v>
      </c>
      <c r="O163" s="810">
        <f t="shared" si="55"/>
        <v>40992</v>
      </c>
      <c r="P163" s="810">
        <v>40995</v>
      </c>
      <c r="Q163" s="811" t="s">
        <v>956</v>
      </c>
      <c r="R163" s="304">
        <v>35</v>
      </c>
      <c r="S163" s="842">
        <v>21199</v>
      </c>
      <c r="T163" s="25">
        <f t="shared" si="56"/>
        <v>741965</v>
      </c>
      <c r="U163" s="451"/>
      <c r="V163" s="810"/>
      <c r="W163" s="842"/>
      <c r="X163" s="842"/>
      <c r="Y163" s="25">
        <f t="shared" si="57"/>
        <v>0</v>
      </c>
    </row>
    <row r="164" spans="1:25">
      <c r="A164" s="847">
        <f t="shared" si="51"/>
        <v>159</v>
      </c>
      <c r="B164" s="297" t="s">
        <v>1228</v>
      </c>
      <c r="C164" s="25">
        <f t="shared" si="52"/>
        <v>228400</v>
      </c>
      <c r="D164" s="797">
        <f t="shared" si="59"/>
        <v>293385.19986185082</v>
      </c>
      <c r="E164" s="797">
        <f t="shared" si="59"/>
        <v>32835.87515678112</v>
      </c>
      <c r="F164" s="797">
        <f t="shared" si="59"/>
        <v>179084.9435587952</v>
      </c>
      <c r="G164" s="797">
        <f t="shared" si="59"/>
        <v>132695.90823987057</v>
      </c>
      <c r="H164" s="797">
        <f t="shared" si="59"/>
        <v>33205.380546416302</v>
      </c>
      <c r="I164" s="25">
        <f t="shared" si="53"/>
        <v>899607.30736371398</v>
      </c>
      <c r="J164" s="797">
        <v>400</v>
      </c>
      <c r="K164" s="797">
        <f t="shared" si="54"/>
        <v>2249.0182684092852</v>
      </c>
      <c r="L164" s="698"/>
      <c r="M164" s="698"/>
      <c r="N164" s="189" t="s">
        <v>653</v>
      </c>
      <c r="O164" s="810">
        <f t="shared" si="55"/>
        <v>40992</v>
      </c>
      <c r="P164" s="810">
        <v>40995</v>
      </c>
      <c r="Q164" s="811" t="s">
        <v>956</v>
      </c>
      <c r="R164" s="304">
        <f>J164</f>
        <v>400</v>
      </c>
      <c r="S164" s="842">
        <v>571</v>
      </c>
      <c r="T164" s="25">
        <f t="shared" si="56"/>
        <v>228400</v>
      </c>
      <c r="U164" s="451"/>
      <c r="V164" s="810"/>
      <c r="W164" s="842"/>
      <c r="X164" s="842"/>
      <c r="Y164" s="25">
        <f t="shared" si="57"/>
        <v>0</v>
      </c>
    </row>
    <row r="165" spans="1:25">
      <c r="A165" s="847">
        <f t="shared" si="7"/>
        <v>160</v>
      </c>
      <c r="B165" s="297" t="s">
        <v>1121</v>
      </c>
      <c r="C165" s="25">
        <f t="shared" ref="C165:C166" si="60">T165</f>
        <v>5707600</v>
      </c>
      <c r="D165" s="797">
        <f t="shared" ref="D165:H165" si="61">IF($J$192&lt;&gt;0,D$192/$J$192*$J165,0)</f>
        <v>733462.99965462706</v>
      </c>
      <c r="E165" s="797">
        <f t="shared" si="61"/>
        <v>82089.68789195281</v>
      </c>
      <c r="F165" s="797">
        <f t="shared" si="61"/>
        <v>447712.35889698798</v>
      </c>
      <c r="G165" s="797">
        <f t="shared" si="61"/>
        <v>331739.77059967641</v>
      </c>
      <c r="H165" s="797">
        <f t="shared" si="61"/>
        <v>83013.451366040754</v>
      </c>
      <c r="I165" s="25">
        <f t="shared" ref="I165:I166" si="62">SUM(C165:H165)</f>
        <v>7385618.2684092857</v>
      </c>
      <c r="J165" s="797">
        <v>1000</v>
      </c>
      <c r="K165" s="797">
        <f t="shared" ref="K165:K166" si="63">IF(J165&lt;&gt;"",I165/J165,"")</f>
        <v>7385.6182684092855</v>
      </c>
      <c r="L165" s="698"/>
      <c r="M165" s="698"/>
      <c r="N165" s="192" t="s">
        <v>663</v>
      </c>
      <c r="O165" s="810">
        <f t="shared" ref="O165:O190" si="64">P165-3</f>
        <v>40993</v>
      </c>
      <c r="P165" s="810">
        <v>40996</v>
      </c>
      <c r="Q165" s="811" t="s">
        <v>957</v>
      </c>
      <c r="R165" s="304">
        <v>200</v>
      </c>
      <c r="S165" s="842">
        <v>28538</v>
      </c>
      <c r="T165" s="25">
        <f t="shared" ref="T165:T166" si="65">ROUND(R165*S165,0)</f>
        <v>5707600</v>
      </c>
      <c r="U165" s="451"/>
      <c r="V165" s="810"/>
      <c r="W165" s="842"/>
      <c r="X165" s="842"/>
      <c r="Y165" s="25">
        <f t="shared" ref="Y165:Y166" si="66">W165*X165</f>
        <v>0</v>
      </c>
    </row>
    <row r="166" spans="1:25">
      <c r="A166" s="847">
        <f t="shared" si="7"/>
        <v>161</v>
      </c>
      <c r="B166" s="297" t="s">
        <v>1225</v>
      </c>
      <c r="C166" s="25">
        <f t="shared" si="60"/>
        <v>782680</v>
      </c>
      <c r="D166" s="797">
        <f t="shared" ref="D166:H175" si="67">IF($J$192&lt;&gt;0,D$192/$J$192*$J166,0)</f>
        <v>46941.631977896133</v>
      </c>
      <c r="E166" s="797">
        <f t="shared" si="67"/>
        <v>5253.7400250849796</v>
      </c>
      <c r="F166" s="797">
        <f t="shared" si="67"/>
        <v>28653.590969407232</v>
      </c>
      <c r="G166" s="797">
        <f t="shared" si="67"/>
        <v>21231.345318379292</v>
      </c>
      <c r="H166" s="797">
        <f t="shared" si="67"/>
        <v>5312.8608874266083</v>
      </c>
      <c r="I166" s="25">
        <f t="shared" si="62"/>
        <v>890073.16917819425</v>
      </c>
      <c r="J166" s="797">
        <v>64</v>
      </c>
      <c r="K166" s="797">
        <f t="shared" si="63"/>
        <v>13907.393268409285</v>
      </c>
      <c r="L166" s="698"/>
      <c r="M166" s="698"/>
      <c r="N166" s="189" t="s">
        <v>1373</v>
      </c>
      <c r="O166" s="810">
        <f t="shared" si="64"/>
        <v>40995</v>
      </c>
      <c r="P166" s="810">
        <v>40998</v>
      </c>
      <c r="Q166" s="811" t="s">
        <v>959</v>
      </c>
      <c r="R166" s="304">
        <v>40</v>
      </c>
      <c r="S166" s="842">
        <v>19567</v>
      </c>
      <c r="T166" s="25">
        <f t="shared" si="65"/>
        <v>782680</v>
      </c>
      <c r="U166" s="451"/>
      <c r="V166" s="810"/>
      <c r="W166" s="842"/>
      <c r="X166" s="842"/>
      <c r="Y166" s="25">
        <f t="shared" si="66"/>
        <v>0</v>
      </c>
    </row>
    <row r="167" spans="1:25">
      <c r="A167" s="847">
        <f t="shared" si="7"/>
        <v>162</v>
      </c>
      <c r="B167" s="297" t="s">
        <v>1224</v>
      </c>
      <c r="C167" s="25">
        <f t="shared" ref="C167:C173" si="68">T167</f>
        <v>745280</v>
      </c>
      <c r="D167" s="797">
        <f t="shared" si="67"/>
        <v>185566.13891262066</v>
      </c>
      <c r="E167" s="797">
        <f t="shared" si="67"/>
        <v>20768.691036664059</v>
      </c>
      <c r="F167" s="797">
        <f t="shared" si="67"/>
        <v>113271.22680093796</v>
      </c>
      <c r="G167" s="797">
        <f t="shared" si="67"/>
        <v>83930.161961718142</v>
      </c>
      <c r="H167" s="797">
        <f t="shared" si="67"/>
        <v>21002.403195608313</v>
      </c>
      <c r="I167" s="25">
        <f t="shared" ref="I167:I173" si="69">SUM(C167:H167)</f>
        <v>1169818.6219075494</v>
      </c>
      <c r="J167" s="797">
        <v>253</v>
      </c>
      <c r="K167" s="797">
        <f t="shared" ref="K167:K173" si="70">IF(J167&lt;&gt;"",I167/J167,"")</f>
        <v>4623.789019397429</v>
      </c>
      <c r="L167" s="698"/>
      <c r="M167" s="698"/>
      <c r="N167" s="297" t="s">
        <v>1366</v>
      </c>
      <c r="O167" s="810">
        <f t="shared" si="64"/>
        <v>40995</v>
      </c>
      <c r="P167" s="810">
        <v>40998</v>
      </c>
      <c r="Q167" s="811" t="s">
        <v>961</v>
      </c>
      <c r="R167" s="304">
        <v>85</v>
      </c>
      <c r="S167" s="842">
        <v>8768</v>
      </c>
      <c r="T167" s="25">
        <f t="shared" ref="T167:T173" si="71">ROUND(R167*S167,0)</f>
        <v>745280</v>
      </c>
      <c r="U167" s="451"/>
      <c r="V167" s="810"/>
      <c r="W167" s="842"/>
      <c r="X167" s="842"/>
      <c r="Y167" s="25">
        <f t="shared" ref="Y167:Y173" si="72">W167*X167</f>
        <v>0</v>
      </c>
    </row>
    <row r="168" spans="1:25">
      <c r="A168" s="847">
        <f t="shared" si="7"/>
        <v>163</v>
      </c>
      <c r="B168" s="297" t="s">
        <v>1223</v>
      </c>
      <c r="C168" s="25">
        <f t="shared" si="68"/>
        <v>1119910</v>
      </c>
      <c r="D168" s="797">
        <f t="shared" si="67"/>
        <v>149626.45192954392</v>
      </c>
      <c r="E168" s="797">
        <f t="shared" si="67"/>
        <v>16746.296329958372</v>
      </c>
      <c r="F168" s="797">
        <f t="shared" si="67"/>
        <v>91333.321214985554</v>
      </c>
      <c r="G168" s="797">
        <f t="shared" si="67"/>
        <v>67674.913202333992</v>
      </c>
      <c r="H168" s="797">
        <f t="shared" si="67"/>
        <v>16934.744078672313</v>
      </c>
      <c r="I168" s="25">
        <f t="shared" si="69"/>
        <v>1462225.726755494</v>
      </c>
      <c r="J168" s="797">
        <v>204</v>
      </c>
      <c r="K168" s="797">
        <f t="shared" si="70"/>
        <v>7167.7731703700683</v>
      </c>
      <c r="L168" s="698"/>
      <c r="M168" s="698"/>
      <c r="N168" s="189" t="s">
        <v>1371</v>
      </c>
      <c r="O168" s="810">
        <f t="shared" si="64"/>
        <v>40995</v>
      </c>
      <c r="P168" s="810">
        <v>40998</v>
      </c>
      <c r="Q168" s="811" t="s">
        <v>961</v>
      </c>
      <c r="R168" s="304">
        <v>55</v>
      </c>
      <c r="S168" s="842">
        <v>20362</v>
      </c>
      <c r="T168" s="25">
        <f t="shared" si="71"/>
        <v>1119910</v>
      </c>
      <c r="U168" s="451"/>
      <c r="V168" s="810"/>
      <c r="W168" s="842"/>
      <c r="X168" s="842"/>
      <c r="Y168" s="25">
        <f t="shared" si="72"/>
        <v>0</v>
      </c>
    </row>
    <row r="169" spans="1:25">
      <c r="A169" s="847">
        <f t="shared" si="7"/>
        <v>164</v>
      </c>
      <c r="B169" s="297" t="s">
        <v>1222</v>
      </c>
      <c r="C169" s="25">
        <f t="shared" si="68"/>
        <v>184128</v>
      </c>
      <c r="D169" s="797">
        <f t="shared" si="67"/>
        <v>1540272.2992747168</v>
      </c>
      <c r="E169" s="797">
        <f t="shared" si="67"/>
        <v>172388.34457310088</v>
      </c>
      <c r="F169" s="797">
        <f t="shared" si="67"/>
        <v>940195.9536836748</v>
      </c>
      <c r="G169" s="797">
        <f t="shared" si="67"/>
        <v>696653.51825932052</v>
      </c>
      <c r="H169" s="797">
        <f t="shared" si="67"/>
        <v>174328.24786868558</v>
      </c>
      <c r="I169" s="25">
        <f t="shared" si="69"/>
        <v>3707966.3636594983</v>
      </c>
      <c r="J169" s="797">
        <v>2100</v>
      </c>
      <c r="K169" s="797">
        <f t="shared" si="70"/>
        <v>1765.698268409285</v>
      </c>
      <c r="L169" s="698"/>
      <c r="M169" s="698"/>
      <c r="N169" s="297" t="s">
        <v>1366</v>
      </c>
      <c r="O169" s="810">
        <f t="shared" si="64"/>
        <v>40995</v>
      </c>
      <c r="P169" s="810">
        <v>40998</v>
      </c>
      <c r="Q169" s="811" t="s">
        <v>961</v>
      </c>
      <c r="R169" s="304">
        <v>21</v>
      </c>
      <c r="S169" s="842">
        <v>8768</v>
      </c>
      <c r="T169" s="25">
        <f t="shared" si="71"/>
        <v>184128</v>
      </c>
      <c r="U169" s="451"/>
      <c r="V169" s="810"/>
      <c r="W169" s="842"/>
      <c r="X169" s="842"/>
      <c r="Y169" s="25">
        <f t="shared" si="72"/>
        <v>0</v>
      </c>
    </row>
    <row r="170" spans="1:25">
      <c r="A170" s="847">
        <f t="shared" si="7"/>
        <v>165</v>
      </c>
      <c r="B170" s="297" t="s">
        <v>1542</v>
      </c>
      <c r="C170" s="25">
        <f t="shared" si="68"/>
        <v>3312400</v>
      </c>
      <c r="D170" s="797">
        <f t="shared" si="67"/>
        <v>256712.04987911947</v>
      </c>
      <c r="E170" s="797">
        <f t="shared" si="67"/>
        <v>28731.390762183481</v>
      </c>
      <c r="F170" s="797">
        <f t="shared" si="67"/>
        <v>156699.32561394581</v>
      </c>
      <c r="G170" s="797">
        <f t="shared" si="67"/>
        <v>116108.91970988674</v>
      </c>
      <c r="H170" s="797">
        <f t="shared" si="67"/>
        <v>29054.707978114264</v>
      </c>
      <c r="I170" s="25">
        <f t="shared" si="69"/>
        <v>3899706.3939432497</v>
      </c>
      <c r="J170" s="797">
        <v>350</v>
      </c>
      <c r="K170" s="797">
        <f t="shared" si="70"/>
        <v>11142.018268409285</v>
      </c>
      <c r="L170" s="698"/>
      <c r="M170" s="698"/>
      <c r="N170" s="192" t="s">
        <v>666</v>
      </c>
      <c r="O170" s="810">
        <f t="shared" si="64"/>
        <v>40995</v>
      </c>
      <c r="P170" s="810">
        <v>40998</v>
      </c>
      <c r="Q170" s="811" t="s">
        <v>962</v>
      </c>
      <c r="R170" s="304">
        <v>130</v>
      </c>
      <c r="S170" s="842">
        <v>25480</v>
      </c>
      <c r="T170" s="25">
        <f t="shared" si="71"/>
        <v>3312400</v>
      </c>
      <c r="U170" s="451"/>
      <c r="V170" s="810"/>
      <c r="W170" s="842"/>
      <c r="X170" s="842"/>
      <c r="Y170" s="25">
        <f t="shared" si="72"/>
        <v>0</v>
      </c>
    </row>
    <row r="171" spans="1:25">
      <c r="A171" s="847">
        <f t="shared" si="7"/>
        <v>166</v>
      </c>
      <c r="B171" s="297" t="s">
        <v>1543</v>
      </c>
      <c r="C171" s="25">
        <f t="shared" si="68"/>
        <v>1698800</v>
      </c>
      <c r="D171" s="797">
        <f t="shared" si="67"/>
        <v>146692.59993092541</v>
      </c>
      <c r="E171" s="797">
        <f t="shared" si="67"/>
        <v>16417.93757839056</v>
      </c>
      <c r="F171" s="797">
        <f t="shared" si="67"/>
        <v>89542.471779397601</v>
      </c>
      <c r="G171" s="797">
        <f t="shared" si="67"/>
        <v>66347.954119935283</v>
      </c>
      <c r="H171" s="797">
        <f t="shared" si="67"/>
        <v>16602.690273208151</v>
      </c>
      <c r="I171" s="25">
        <f t="shared" si="69"/>
        <v>2034403.653681857</v>
      </c>
      <c r="J171" s="797">
        <v>200</v>
      </c>
      <c r="K171" s="797">
        <f t="shared" si="70"/>
        <v>10172.018268409285</v>
      </c>
      <c r="L171" s="698"/>
      <c r="M171" s="698"/>
      <c r="N171" s="297" t="s">
        <v>1241</v>
      </c>
      <c r="O171" s="810">
        <f t="shared" si="64"/>
        <v>40995</v>
      </c>
      <c r="P171" s="810">
        <v>40998</v>
      </c>
      <c r="Q171" s="811" t="s">
        <v>962</v>
      </c>
      <c r="R171" s="304">
        <v>100</v>
      </c>
      <c r="S171" s="842">
        <v>16988</v>
      </c>
      <c r="T171" s="25">
        <f t="shared" si="71"/>
        <v>1698800</v>
      </c>
      <c r="U171" s="451"/>
      <c r="V171" s="810"/>
      <c r="W171" s="842"/>
      <c r="X171" s="842"/>
      <c r="Y171" s="25">
        <f t="shared" si="72"/>
        <v>0</v>
      </c>
    </row>
    <row r="172" spans="1:25">
      <c r="A172" s="847">
        <f t="shared" si="7"/>
        <v>167</v>
      </c>
      <c r="B172" s="297" t="s">
        <v>1544</v>
      </c>
      <c r="C172" s="25">
        <f t="shared" si="68"/>
        <v>5648580</v>
      </c>
      <c r="D172" s="797">
        <f t="shared" si="67"/>
        <v>330058.3498445822</v>
      </c>
      <c r="E172" s="797">
        <f t="shared" si="67"/>
        <v>36940.359551378766</v>
      </c>
      <c r="F172" s="797">
        <f t="shared" si="67"/>
        <v>201470.5615036446</v>
      </c>
      <c r="G172" s="797">
        <f t="shared" si="67"/>
        <v>149282.89676985439</v>
      </c>
      <c r="H172" s="797">
        <f t="shared" si="67"/>
        <v>37356.053114718343</v>
      </c>
      <c r="I172" s="25">
        <f t="shared" si="69"/>
        <v>6403688.2207841789</v>
      </c>
      <c r="J172" s="797">
        <v>450</v>
      </c>
      <c r="K172" s="797">
        <f t="shared" si="70"/>
        <v>14230.418268409287</v>
      </c>
      <c r="L172" s="698"/>
      <c r="M172" s="698"/>
      <c r="N172" s="192" t="s">
        <v>564</v>
      </c>
      <c r="O172" s="810">
        <f t="shared" si="64"/>
        <v>40995</v>
      </c>
      <c r="P172" s="810">
        <v>40998</v>
      </c>
      <c r="Q172" s="811" t="s">
        <v>962</v>
      </c>
      <c r="R172" s="304">
        <v>210</v>
      </c>
      <c r="S172" s="842">
        <v>26898</v>
      </c>
      <c r="T172" s="25">
        <f t="shared" si="71"/>
        <v>5648580</v>
      </c>
      <c r="U172" s="451"/>
      <c r="V172" s="810"/>
      <c r="W172" s="842"/>
      <c r="X172" s="842"/>
      <c r="Y172" s="25">
        <f t="shared" si="72"/>
        <v>0</v>
      </c>
    </row>
    <row r="173" spans="1:25">
      <c r="A173" s="847">
        <f t="shared" si="7"/>
        <v>168</v>
      </c>
      <c r="B173" s="297" t="s">
        <v>1536</v>
      </c>
      <c r="C173" s="25">
        <f t="shared" si="68"/>
        <v>978350</v>
      </c>
      <c r="D173" s="797">
        <f t="shared" si="67"/>
        <v>110019.44994819406</v>
      </c>
      <c r="E173" s="797">
        <f t="shared" si="67"/>
        <v>12313.453183792921</v>
      </c>
      <c r="F173" s="797">
        <f t="shared" si="67"/>
        <v>67156.853834548208</v>
      </c>
      <c r="G173" s="797">
        <f t="shared" si="67"/>
        <v>49760.965589951462</v>
      </c>
      <c r="H173" s="797">
        <f t="shared" si="67"/>
        <v>12452.017704906113</v>
      </c>
      <c r="I173" s="25">
        <f t="shared" si="69"/>
        <v>1230052.7402613929</v>
      </c>
      <c r="J173" s="797">
        <v>150</v>
      </c>
      <c r="K173" s="797">
        <f t="shared" si="70"/>
        <v>8200.3516017426191</v>
      </c>
      <c r="L173" s="698"/>
      <c r="M173" s="698"/>
      <c r="N173" s="189" t="s">
        <v>1373</v>
      </c>
      <c r="O173" s="810">
        <f t="shared" si="64"/>
        <v>40995</v>
      </c>
      <c r="P173" s="810">
        <v>40998</v>
      </c>
      <c r="Q173" s="811" t="s">
        <v>962</v>
      </c>
      <c r="R173" s="304">
        <v>50</v>
      </c>
      <c r="S173" s="842">
        <v>19567</v>
      </c>
      <c r="T173" s="25">
        <f t="shared" si="71"/>
        <v>978350</v>
      </c>
      <c r="U173" s="451"/>
      <c r="V173" s="810"/>
      <c r="W173" s="842"/>
      <c r="X173" s="842"/>
      <c r="Y173" s="25">
        <f t="shared" si="72"/>
        <v>0</v>
      </c>
    </row>
    <row r="174" spans="1:25">
      <c r="A174" s="847">
        <f t="shared" si="7"/>
        <v>169</v>
      </c>
      <c r="B174" s="297" t="s">
        <v>1539</v>
      </c>
      <c r="C174" s="25">
        <f t="shared" ref="C174:C185" si="73">T174</f>
        <v>637428</v>
      </c>
      <c r="D174" s="797">
        <f t="shared" si="67"/>
        <v>66011.669968916438</v>
      </c>
      <c r="E174" s="797">
        <f t="shared" si="67"/>
        <v>7388.071910275753</v>
      </c>
      <c r="F174" s="797">
        <f t="shared" si="67"/>
        <v>40294.112300728921</v>
      </c>
      <c r="G174" s="797">
        <f t="shared" si="67"/>
        <v>29856.579353970879</v>
      </c>
      <c r="H174" s="797">
        <f t="shared" si="67"/>
        <v>7471.2106229436677</v>
      </c>
      <c r="I174" s="25">
        <f t="shared" ref="I174:I185" si="74">SUM(C174:H174)</f>
        <v>788449.64415683562</v>
      </c>
      <c r="J174" s="797">
        <v>90</v>
      </c>
      <c r="K174" s="797">
        <f t="shared" ref="K174:K185" si="75">IF(J174&lt;&gt;"",I174/J174,"")</f>
        <v>8760.551601742618</v>
      </c>
      <c r="L174" s="698"/>
      <c r="M174" s="698"/>
      <c r="N174" s="189" t="s">
        <v>634</v>
      </c>
      <c r="O174" s="810">
        <f t="shared" si="64"/>
        <v>40995</v>
      </c>
      <c r="P174" s="810">
        <v>40998</v>
      </c>
      <c r="Q174" s="811" t="s">
        <v>962</v>
      </c>
      <c r="R174" s="304">
        <v>33</v>
      </c>
      <c r="S174" s="842">
        <v>19316</v>
      </c>
      <c r="T174" s="25">
        <f t="shared" ref="T174:T185" si="76">ROUND(R174*S174,0)</f>
        <v>637428</v>
      </c>
      <c r="U174" s="451"/>
      <c r="V174" s="810"/>
      <c r="W174" s="842"/>
      <c r="X174" s="842"/>
      <c r="Y174" s="25">
        <f t="shared" ref="Y174:Y185" si="77">W174*X174</f>
        <v>0</v>
      </c>
    </row>
    <row r="175" spans="1:25">
      <c r="A175" s="847">
        <f t="shared" si="7"/>
        <v>170</v>
      </c>
      <c r="B175" s="297" t="s">
        <v>1503</v>
      </c>
      <c r="C175" s="25">
        <f t="shared" si="73"/>
        <v>1425340</v>
      </c>
      <c r="D175" s="797">
        <f t="shared" si="67"/>
        <v>154027.22992747169</v>
      </c>
      <c r="E175" s="797">
        <f t="shared" si="67"/>
        <v>17238.834457310088</v>
      </c>
      <c r="F175" s="797">
        <f t="shared" si="67"/>
        <v>94019.595368367474</v>
      </c>
      <c r="G175" s="797">
        <f t="shared" si="67"/>
        <v>69665.351825932055</v>
      </c>
      <c r="H175" s="797">
        <f t="shared" si="67"/>
        <v>17432.824786868558</v>
      </c>
      <c r="I175" s="25">
        <f t="shared" si="74"/>
        <v>1777723.8363659498</v>
      </c>
      <c r="J175" s="797">
        <v>210</v>
      </c>
      <c r="K175" s="797">
        <f t="shared" si="75"/>
        <v>8465.3516017426191</v>
      </c>
      <c r="L175" s="698"/>
      <c r="M175" s="698"/>
      <c r="N175" s="189" t="s">
        <v>1371</v>
      </c>
      <c r="O175" s="810">
        <f t="shared" si="64"/>
        <v>40995</v>
      </c>
      <c r="P175" s="810">
        <v>40998</v>
      </c>
      <c r="Q175" s="811" t="s">
        <v>962</v>
      </c>
      <c r="R175" s="304">
        <v>70</v>
      </c>
      <c r="S175" s="842">
        <v>20362</v>
      </c>
      <c r="T175" s="25">
        <f t="shared" si="76"/>
        <v>1425340</v>
      </c>
      <c r="U175" s="451"/>
      <c r="V175" s="810"/>
      <c r="W175" s="842"/>
      <c r="X175" s="842"/>
      <c r="Y175" s="25">
        <f t="shared" si="77"/>
        <v>0</v>
      </c>
    </row>
    <row r="176" spans="1:25">
      <c r="A176" s="847">
        <f t="shared" si="7"/>
        <v>171</v>
      </c>
      <c r="B176" s="297" t="s">
        <v>1546</v>
      </c>
      <c r="C176" s="25">
        <f t="shared" si="73"/>
        <v>409230</v>
      </c>
      <c r="D176" s="797">
        <f t="shared" ref="D176:H190" si="78">IF($J$192&lt;&gt;0,D$192/$J$192*$J176,0)</f>
        <v>19803.500990674933</v>
      </c>
      <c r="E176" s="797">
        <f t="shared" si="78"/>
        <v>2216.4215730827259</v>
      </c>
      <c r="F176" s="797">
        <f t="shared" si="78"/>
        <v>12088.233690218676</v>
      </c>
      <c r="G176" s="797">
        <f t="shared" si="78"/>
        <v>8956.9738061912631</v>
      </c>
      <c r="H176" s="797">
        <f t="shared" si="78"/>
        <v>2241.3631868831003</v>
      </c>
      <c r="I176" s="25">
        <f t="shared" si="74"/>
        <v>454536.49324705068</v>
      </c>
      <c r="J176" s="797">
        <v>27</v>
      </c>
      <c r="K176" s="797">
        <f t="shared" si="75"/>
        <v>16834.684935075951</v>
      </c>
      <c r="L176" s="698"/>
      <c r="M176" s="698"/>
      <c r="N176" s="189" t="s">
        <v>614</v>
      </c>
      <c r="O176" s="810">
        <f t="shared" si="64"/>
        <v>40995</v>
      </c>
      <c r="P176" s="810">
        <v>40998</v>
      </c>
      <c r="Q176" s="811" t="s">
        <v>962</v>
      </c>
      <c r="R176" s="304">
        <v>30</v>
      </c>
      <c r="S176" s="842">
        <v>13641</v>
      </c>
      <c r="T176" s="25">
        <f t="shared" si="76"/>
        <v>409230</v>
      </c>
      <c r="U176" s="451"/>
      <c r="V176" s="810"/>
      <c r="W176" s="842"/>
      <c r="X176" s="842"/>
      <c r="Y176" s="25">
        <f t="shared" si="77"/>
        <v>0</v>
      </c>
    </row>
    <row r="177" spans="1:25">
      <c r="A177" s="847">
        <f t="shared" si="7"/>
        <v>172</v>
      </c>
      <c r="B177" s="297" t="s">
        <v>1515</v>
      </c>
      <c r="C177" s="25">
        <f t="shared" si="73"/>
        <v>1486446</v>
      </c>
      <c r="D177" s="797">
        <f t="shared" si="78"/>
        <v>183365.74991365676</v>
      </c>
      <c r="E177" s="797">
        <f t="shared" si="78"/>
        <v>20522.421972988202</v>
      </c>
      <c r="F177" s="797">
        <f t="shared" si="78"/>
        <v>111928.08972424699</v>
      </c>
      <c r="G177" s="797">
        <f t="shared" si="78"/>
        <v>82934.942649919103</v>
      </c>
      <c r="H177" s="797">
        <f t="shared" si="78"/>
        <v>20753.362841510188</v>
      </c>
      <c r="I177" s="25">
        <f t="shared" si="74"/>
        <v>1905950.5671023214</v>
      </c>
      <c r="J177" s="797">
        <v>250</v>
      </c>
      <c r="K177" s="797">
        <f t="shared" si="75"/>
        <v>7623.8022684092857</v>
      </c>
      <c r="L177" s="698"/>
      <c r="M177" s="698"/>
      <c r="N177" s="297" t="s">
        <v>655</v>
      </c>
      <c r="O177" s="810">
        <f t="shared" si="64"/>
        <v>40995</v>
      </c>
      <c r="P177" s="810">
        <v>40998</v>
      </c>
      <c r="Q177" s="811" t="s">
        <v>962</v>
      </c>
      <c r="R177" s="304">
        <v>102</v>
      </c>
      <c r="S177" s="842">
        <v>14573</v>
      </c>
      <c r="T177" s="25">
        <f t="shared" si="76"/>
        <v>1486446</v>
      </c>
      <c r="U177" s="451"/>
      <c r="V177" s="810"/>
      <c r="W177" s="842"/>
      <c r="X177" s="842"/>
      <c r="Y177" s="25">
        <f t="shared" si="77"/>
        <v>0</v>
      </c>
    </row>
    <row r="178" spans="1:25">
      <c r="A178" s="847">
        <f t="shared" si="7"/>
        <v>173</v>
      </c>
      <c r="B178" s="297" t="s">
        <v>1540</v>
      </c>
      <c r="C178" s="25">
        <f t="shared" si="73"/>
        <v>978350</v>
      </c>
      <c r="D178" s="797">
        <f t="shared" si="78"/>
        <v>73346.299965462706</v>
      </c>
      <c r="E178" s="797">
        <f t="shared" si="78"/>
        <v>8208.9687891952799</v>
      </c>
      <c r="F178" s="797">
        <f t="shared" si="78"/>
        <v>44771.235889698801</v>
      </c>
      <c r="G178" s="797">
        <f t="shared" si="78"/>
        <v>33173.977059967641</v>
      </c>
      <c r="H178" s="797">
        <f t="shared" si="78"/>
        <v>8301.3451366040754</v>
      </c>
      <c r="I178" s="25">
        <f t="shared" si="74"/>
        <v>1146151.8268409283</v>
      </c>
      <c r="J178" s="797">
        <v>100</v>
      </c>
      <c r="K178" s="797">
        <f t="shared" si="75"/>
        <v>11461.518268409283</v>
      </c>
      <c r="L178" s="698"/>
      <c r="M178" s="698"/>
      <c r="N178" s="189" t="s">
        <v>1373</v>
      </c>
      <c r="O178" s="810">
        <f t="shared" si="64"/>
        <v>40995</v>
      </c>
      <c r="P178" s="810">
        <v>40998</v>
      </c>
      <c r="Q178" s="811" t="s">
        <v>962</v>
      </c>
      <c r="R178" s="304">
        <v>50</v>
      </c>
      <c r="S178" s="842">
        <v>19567</v>
      </c>
      <c r="T178" s="25">
        <f t="shared" si="76"/>
        <v>978350</v>
      </c>
      <c r="U178" s="451"/>
      <c r="V178" s="810"/>
      <c r="W178" s="842"/>
      <c r="X178" s="842"/>
      <c r="Y178" s="25">
        <f t="shared" si="77"/>
        <v>0</v>
      </c>
    </row>
    <row r="179" spans="1:25">
      <c r="A179" s="847">
        <f t="shared" si="7"/>
        <v>174</v>
      </c>
      <c r="B179" s="297" t="s">
        <v>1515</v>
      </c>
      <c r="C179" s="25">
        <f t="shared" si="73"/>
        <v>1416600</v>
      </c>
      <c r="D179" s="797">
        <f t="shared" si="78"/>
        <v>146692.59993092541</v>
      </c>
      <c r="E179" s="797">
        <f t="shared" si="78"/>
        <v>16417.93757839056</v>
      </c>
      <c r="F179" s="797">
        <f t="shared" si="78"/>
        <v>89542.471779397601</v>
      </c>
      <c r="G179" s="797">
        <f t="shared" si="78"/>
        <v>66347.954119935283</v>
      </c>
      <c r="H179" s="797">
        <f t="shared" si="78"/>
        <v>16602.690273208151</v>
      </c>
      <c r="I179" s="25">
        <f t="shared" si="74"/>
        <v>1752203.653681857</v>
      </c>
      <c r="J179" s="797">
        <v>200</v>
      </c>
      <c r="K179" s="797">
        <f t="shared" si="75"/>
        <v>8761.0182684092852</v>
      </c>
      <c r="L179" s="698"/>
      <c r="M179" s="698"/>
      <c r="N179" s="189" t="s">
        <v>644</v>
      </c>
      <c r="O179" s="810">
        <f t="shared" si="64"/>
        <v>40995</v>
      </c>
      <c r="P179" s="810">
        <v>40998</v>
      </c>
      <c r="Q179" s="811" t="s">
        <v>962</v>
      </c>
      <c r="R179" s="304">
        <v>100</v>
      </c>
      <c r="S179" s="842">
        <v>14166</v>
      </c>
      <c r="T179" s="25">
        <f t="shared" si="76"/>
        <v>1416600</v>
      </c>
      <c r="U179" s="451"/>
      <c r="V179" s="810"/>
      <c r="W179" s="842"/>
      <c r="X179" s="842"/>
      <c r="Y179" s="25">
        <f t="shared" si="77"/>
        <v>0</v>
      </c>
    </row>
    <row r="180" spans="1:25">
      <c r="A180" s="847">
        <f t="shared" si="7"/>
        <v>175</v>
      </c>
      <c r="B180" s="297" t="s">
        <v>1545</v>
      </c>
      <c r="C180" s="25">
        <f t="shared" si="73"/>
        <v>1663195</v>
      </c>
      <c r="D180" s="797">
        <f t="shared" si="78"/>
        <v>123221.78394197735</v>
      </c>
      <c r="E180" s="797">
        <f t="shared" si="78"/>
        <v>13791.067565848072</v>
      </c>
      <c r="F180" s="797">
        <f t="shared" si="78"/>
        <v>75215.676294693985</v>
      </c>
      <c r="G180" s="797">
        <f t="shared" si="78"/>
        <v>55732.281460745638</v>
      </c>
      <c r="H180" s="797">
        <f t="shared" si="78"/>
        <v>13946.259829494848</v>
      </c>
      <c r="I180" s="25">
        <f t="shared" si="74"/>
        <v>1945102.0690927601</v>
      </c>
      <c r="J180" s="797">
        <v>168</v>
      </c>
      <c r="K180" s="797">
        <f t="shared" si="75"/>
        <v>11577.988506504524</v>
      </c>
      <c r="L180" s="698"/>
      <c r="M180" s="698"/>
      <c r="N180" s="189" t="s">
        <v>1373</v>
      </c>
      <c r="O180" s="810">
        <f t="shared" si="64"/>
        <v>40995</v>
      </c>
      <c r="P180" s="810">
        <v>40998</v>
      </c>
      <c r="Q180" s="811" t="s">
        <v>962</v>
      </c>
      <c r="R180" s="304">
        <v>85</v>
      </c>
      <c r="S180" s="842">
        <v>19567</v>
      </c>
      <c r="T180" s="25">
        <f t="shared" si="76"/>
        <v>1663195</v>
      </c>
      <c r="U180" s="451"/>
      <c r="V180" s="810"/>
      <c r="W180" s="842"/>
      <c r="X180" s="842"/>
      <c r="Y180" s="25">
        <f t="shared" si="77"/>
        <v>0</v>
      </c>
    </row>
    <row r="181" spans="1:25">
      <c r="A181" s="847">
        <f t="shared" si="7"/>
        <v>176</v>
      </c>
      <c r="B181" s="297" t="s">
        <v>1542</v>
      </c>
      <c r="C181" s="25">
        <f t="shared" si="73"/>
        <v>4953120</v>
      </c>
      <c r="D181" s="797">
        <f t="shared" si="78"/>
        <v>370398.81482558668</v>
      </c>
      <c r="E181" s="797">
        <f t="shared" si="78"/>
        <v>41455.292385436165</v>
      </c>
      <c r="F181" s="797">
        <f t="shared" si="78"/>
        <v>226094.74124297895</v>
      </c>
      <c r="G181" s="797">
        <f t="shared" si="78"/>
        <v>167528.58415283659</v>
      </c>
      <c r="H181" s="797">
        <f t="shared" si="78"/>
        <v>41921.79293985058</v>
      </c>
      <c r="I181" s="25">
        <f t="shared" si="74"/>
        <v>5800519.2255466888</v>
      </c>
      <c r="J181" s="797">
        <v>505</v>
      </c>
      <c r="K181" s="797">
        <f t="shared" si="75"/>
        <v>11486.17668425087</v>
      </c>
      <c r="L181" s="698"/>
      <c r="M181" s="698"/>
      <c r="N181" s="189" t="s">
        <v>612</v>
      </c>
      <c r="O181" s="810">
        <f t="shared" si="64"/>
        <v>40995</v>
      </c>
      <c r="P181" s="810">
        <v>40998</v>
      </c>
      <c r="Q181" s="811" t="s">
        <v>963</v>
      </c>
      <c r="R181" s="304">
        <v>255</v>
      </c>
      <c r="S181" s="842">
        <v>19424</v>
      </c>
      <c r="T181" s="25">
        <f t="shared" si="76"/>
        <v>4953120</v>
      </c>
      <c r="U181" s="451"/>
      <c r="V181" s="810"/>
      <c r="W181" s="842"/>
      <c r="X181" s="842"/>
      <c r="Y181" s="25">
        <f t="shared" si="77"/>
        <v>0</v>
      </c>
    </row>
    <row r="182" spans="1:25">
      <c r="A182" s="847">
        <f t="shared" si="7"/>
        <v>177</v>
      </c>
      <c r="B182" s="297" t="s">
        <v>1543</v>
      </c>
      <c r="C182" s="25">
        <f t="shared" si="73"/>
        <v>3013250</v>
      </c>
      <c r="D182" s="797">
        <f t="shared" si="78"/>
        <v>195101.15790813082</v>
      </c>
      <c r="E182" s="797">
        <f t="shared" si="78"/>
        <v>21835.856979259446</v>
      </c>
      <c r="F182" s="797">
        <f t="shared" si="78"/>
        <v>119091.4874665988</v>
      </c>
      <c r="G182" s="797">
        <f t="shared" si="78"/>
        <v>88242.778979513925</v>
      </c>
      <c r="H182" s="797">
        <f t="shared" si="78"/>
        <v>22081.57806336684</v>
      </c>
      <c r="I182" s="25">
        <f t="shared" si="74"/>
        <v>3459602.8593968698</v>
      </c>
      <c r="J182" s="797">
        <v>266</v>
      </c>
      <c r="K182" s="797">
        <f t="shared" si="75"/>
        <v>13006.025787206278</v>
      </c>
      <c r="L182" s="698"/>
      <c r="M182" s="698"/>
      <c r="N182" s="189" t="s">
        <v>1378</v>
      </c>
      <c r="O182" s="810">
        <f t="shared" si="64"/>
        <v>40995</v>
      </c>
      <c r="P182" s="810">
        <v>40998</v>
      </c>
      <c r="Q182" s="811" t="s">
        <v>963</v>
      </c>
      <c r="R182" s="304">
        <v>250</v>
      </c>
      <c r="S182" s="842">
        <v>12053</v>
      </c>
      <c r="T182" s="25">
        <f t="shared" si="76"/>
        <v>3013250</v>
      </c>
      <c r="U182" s="451"/>
      <c r="V182" s="810"/>
      <c r="W182" s="842"/>
      <c r="X182" s="842"/>
      <c r="Y182" s="25">
        <f t="shared" si="77"/>
        <v>0</v>
      </c>
    </row>
    <row r="183" spans="1:25">
      <c r="A183" s="847">
        <f t="shared" si="7"/>
        <v>178</v>
      </c>
      <c r="B183" s="297" t="s">
        <v>1544</v>
      </c>
      <c r="C183" s="25">
        <f t="shared" si="73"/>
        <v>10998100</v>
      </c>
      <c r="D183" s="797">
        <f t="shared" si="78"/>
        <v>630778.17970297928</v>
      </c>
      <c r="E183" s="797">
        <f t="shared" si="78"/>
        <v>70597.131587079421</v>
      </c>
      <c r="F183" s="797">
        <f t="shared" si="78"/>
        <v>385032.6286514097</v>
      </c>
      <c r="G183" s="797">
        <f t="shared" si="78"/>
        <v>285296.20271572174</v>
      </c>
      <c r="H183" s="797">
        <f t="shared" si="78"/>
        <v>71391.568174795044</v>
      </c>
      <c r="I183" s="25">
        <f t="shared" si="74"/>
        <v>12441195.710831983</v>
      </c>
      <c r="J183" s="797">
        <v>860</v>
      </c>
      <c r="K183" s="797">
        <f t="shared" si="75"/>
        <v>14466.506640502306</v>
      </c>
      <c r="L183" s="698"/>
      <c r="M183" s="698"/>
      <c r="N183" s="192" t="s">
        <v>664</v>
      </c>
      <c r="O183" s="810">
        <f t="shared" si="64"/>
        <v>40995</v>
      </c>
      <c r="P183" s="810">
        <v>40998</v>
      </c>
      <c r="Q183" s="811" t="s">
        <v>963</v>
      </c>
      <c r="R183" s="304">
        <v>436</v>
      </c>
      <c r="S183" s="842">
        <v>25225</v>
      </c>
      <c r="T183" s="25">
        <f t="shared" si="76"/>
        <v>10998100</v>
      </c>
      <c r="U183" s="451"/>
      <c r="V183" s="810"/>
      <c r="W183" s="842"/>
      <c r="X183" s="842"/>
      <c r="Y183" s="25">
        <f t="shared" si="77"/>
        <v>0</v>
      </c>
    </row>
    <row r="184" spans="1:25">
      <c r="A184" s="847">
        <f t="shared" si="7"/>
        <v>179</v>
      </c>
      <c r="B184" s="297" t="s">
        <v>1221</v>
      </c>
      <c r="C184" s="25">
        <f t="shared" si="73"/>
        <v>3183750</v>
      </c>
      <c r="D184" s="797">
        <f t="shared" si="78"/>
        <v>311721.77485321648</v>
      </c>
      <c r="E184" s="797">
        <f t="shared" si="78"/>
        <v>34888.117354079943</v>
      </c>
      <c r="F184" s="797">
        <f t="shared" si="78"/>
        <v>190277.75253121991</v>
      </c>
      <c r="G184" s="797">
        <f t="shared" si="78"/>
        <v>140989.40250486249</v>
      </c>
      <c r="H184" s="797">
        <f t="shared" si="78"/>
        <v>35280.716830567319</v>
      </c>
      <c r="I184" s="25">
        <f t="shared" si="74"/>
        <v>3896907.764073946</v>
      </c>
      <c r="J184" s="797">
        <v>425</v>
      </c>
      <c r="K184" s="797">
        <f t="shared" si="75"/>
        <v>9169.1947389975194</v>
      </c>
      <c r="L184" s="698"/>
      <c r="M184" s="698"/>
      <c r="N184" s="189" t="s">
        <v>1259</v>
      </c>
      <c r="O184" s="810">
        <f t="shared" si="64"/>
        <v>40995</v>
      </c>
      <c r="P184" s="810">
        <v>40998</v>
      </c>
      <c r="Q184" s="811" t="s">
        <v>964</v>
      </c>
      <c r="R184" s="304">
        <v>250</v>
      </c>
      <c r="S184" s="842">
        <v>12735</v>
      </c>
      <c r="T184" s="25">
        <f t="shared" si="76"/>
        <v>3183750</v>
      </c>
      <c r="U184" s="451"/>
      <c r="V184" s="810"/>
      <c r="W184" s="842"/>
      <c r="X184" s="842"/>
      <c r="Y184" s="25">
        <f t="shared" si="77"/>
        <v>0</v>
      </c>
    </row>
    <row r="185" spans="1:25">
      <c r="A185" s="847">
        <f t="shared" si="7"/>
        <v>180</v>
      </c>
      <c r="B185" s="297" t="s">
        <v>1481</v>
      </c>
      <c r="C185" s="25">
        <f t="shared" si="73"/>
        <v>314510</v>
      </c>
      <c r="D185" s="797">
        <f t="shared" si="78"/>
        <v>7334.6299965462713</v>
      </c>
      <c r="E185" s="797">
        <f t="shared" si="78"/>
        <v>820.89687891952804</v>
      </c>
      <c r="F185" s="797">
        <f t="shared" si="78"/>
        <v>4477.1235889698801</v>
      </c>
      <c r="G185" s="797">
        <f t="shared" si="78"/>
        <v>3317.3977059967642</v>
      </c>
      <c r="H185" s="797">
        <f t="shared" si="78"/>
        <v>830.13451366040749</v>
      </c>
      <c r="I185" s="25">
        <f t="shared" si="74"/>
        <v>331290.18268409278</v>
      </c>
      <c r="J185" s="797">
        <v>10</v>
      </c>
      <c r="K185" s="797">
        <f t="shared" si="75"/>
        <v>33129.01826840928</v>
      </c>
      <c r="L185" s="698"/>
      <c r="M185" s="698"/>
      <c r="N185" s="297" t="s">
        <v>1249</v>
      </c>
      <c r="O185" s="810">
        <f t="shared" si="64"/>
        <v>40995</v>
      </c>
      <c r="P185" s="810">
        <v>40998</v>
      </c>
      <c r="Q185" s="811" t="s">
        <v>1561</v>
      </c>
      <c r="R185" s="304">
        <v>10</v>
      </c>
      <c r="S185" s="842">
        <v>31451</v>
      </c>
      <c r="T185" s="25">
        <f t="shared" si="76"/>
        <v>314510</v>
      </c>
      <c r="U185" s="451"/>
      <c r="V185" s="810"/>
      <c r="W185" s="842"/>
      <c r="X185" s="842"/>
      <c r="Y185" s="25">
        <f t="shared" si="77"/>
        <v>0</v>
      </c>
    </row>
    <row r="186" spans="1:25">
      <c r="A186" s="847">
        <f t="shared" si="7"/>
        <v>181</v>
      </c>
      <c r="B186" s="297" t="s">
        <v>1483</v>
      </c>
      <c r="C186" s="25">
        <f t="shared" si="2"/>
        <v>808800</v>
      </c>
      <c r="D186" s="797">
        <f t="shared" si="78"/>
        <v>36673.149982731353</v>
      </c>
      <c r="E186" s="797">
        <f t="shared" si="78"/>
        <v>4104.4843945976399</v>
      </c>
      <c r="F186" s="797">
        <f t="shared" si="78"/>
        <v>22385.6179448494</v>
      </c>
      <c r="G186" s="797">
        <f t="shared" si="78"/>
        <v>16586.988529983821</v>
      </c>
      <c r="H186" s="797">
        <f t="shared" si="78"/>
        <v>4150.6725683020377</v>
      </c>
      <c r="I186" s="25">
        <f t="shared" si="1"/>
        <v>892700.91342046415</v>
      </c>
      <c r="J186" s="797">
        <v>50</v>
      </c>
      <c r="K186" s="797">
        <f t="shared" si="3"/>
        <v>17854.018268409283</v>
      </c>
      <c r="L186" s="698"/>
      <c r="M186" s="698"/>
      <c r="N186" s="192" t="s">
        <v>619</v>
      </c>
      <c r="O186" s="810">
        <f t="shared" si="64"/>
        <v>40995</v>
      </c>
      <c r="P186" s="810">
        <v>40998</v>
      </c>
      <c r="Q186" s="811" t="s">
        <v>1561</v>
      </c>
      <c r="R186" s="304">
        <v>50</v>
      </c>
      <c r="S186" s="842">
        <v>16176</v>
      </c>
      <c r="T186" s="25">
        <f t="shared" si="5"/>
        <v>808800</v>
      </c>
      <c r="U186" s="451"/>
      <c r="V186" s="810"/>
      <c r="W186" s="842"/>
      <c r="X186" s="842"/>
      <c r="Y186" s="25">
        <f t="shared" si="6"/>
        <v>0</v>
      </c>
    </row>
    <row r="187" spans="1:25">
      <c r="A187" s="847">
        <f t="shared" si="7"/>
        <v>182</v>
      </c>
      <c r="B187" s="297" t="s">
        <v>1484</v>
      </c>
      <c r="C187" s="25">
        <f t="shared" si="2"/>
        <v>2465850</v>
      </c>
      <c r="D187" s="797">
        <f t="shared" si="78"/>
        <v>55009.724974097029</v>
      </c>
      <c r="E187" s="797">
        <f t="shared" si="78"/>
        <v>6156.7265918964604</v>
      </c>
      <c r="F187" s="797">
        <f t="shared" si="78"/>
        <v>33578.426917274104</v>
      </c>
      <c r="G187" s="797">
        <f t="shared" si="78"/>
        <v>24880.482794975731</v>
      </c>
      <c r="H187" s="797">
        <f t="shared" si="78"/>
        <v>6226.0088524530565</v>
      </c>
      <c r="I187" s="25">
        <f t="shared" si="1"/>
        <v>2591701.3701306963</v>
      </c>
      <c r="J187" s="797">
        <v>75</v>
      </c>
      <c r="K187" s="797">
        <f t="shared" si="3"/>
        <v>34556.018268409287</v>
      </c>
      <c r="L187" s="698"/>
      <c r="M187" s="698"/>
      <c r="N187" s="189" t="s">
        <v>1260</v>
      </c>
      <c r="O187" s="810">
        <f t="shared" si="64"/>
        <v>40995</v>
      </c>
      <c r="P187" s="810">
        <v>40998</v>
      </c>
      <c r="Q187" s="811" t="s">
        <v>1561</v>
      </c>
      <c r="R187" s="304">
        <f>J187</f>
        <v>75</v>
      </c>
      <c r="S187" s="842">
        <v>32878</v>
      </c>
      <c r="T187" s="25">
        <f t="shared" si="5"/>
        <v>2465850</v>
      </c>
      <c r="U187" s="451"/>
      <c r="V187" s="810"/>
      <c r="W187" s="842"/>
      <c r="X187" s="842"/>
      <c r="Y187" s="25">
        <f t="shared" si="6"/>
        <v>0</v>
      </c>
    </row>
    <row r="188" spans="1:25">
      <c r="A188" s="847">
        <f t="shared" si="7"/>
        <v>183</v>
      </c>
      <c r="B188" s="297" t="s">
        <v>1235</v>
      </c>
      <c r="C188" s="25">
        <f t="shared" si="2"/>
        <v>4041300</v>
      </c>
      <c r="D188" s="797">
        <f t="shared" si="78"/>
        <v>110019.44994819406</v>
      </c>
      <c r="E188" s="797">
        <f t="shared" si="78"/>
        <v>12313.453183792921</v>
      </c>
      <c r="F188" s="797">
        <f t="shared" si="78"/>
        <v>67156.853834548208</v>
      </c>
      <c r="G188" s="797">
        <f t="shared" si="78"/>
        <v>49760.965589951462</v>
      </c>
      <c r="H188" s="797">
        <f t="shared" si="78"/>
        <v>12452.017704906113</v>
      </c>
      <c r="I188" s="25">
        <f t="shared" si="1"/>
        <v>4293002.7402613927</v>
      </c>
      <c r="J188" s="797">
        <v>150</v>
      </c>
      <c r="K188" s="797">
        <f t="shared" si="3"/>
        <v>28620.018268409283</v>
      </c>
      <c r="L188" s="698"/>
      <c r="M188" s="698"/>
      <c r="N188" s="297" t="s">
        <v>1367</v>
      </c>
      <c r="O188" s="810">
        <f t="shared" si="64"/>
        <v>40995</v>
      </c>
      <c r="P188" s="810">
        <v>40998</v>
      </c>
      <c r="Q188" s="811" t="s">
        <v>1561</v>
      </c>
      <c r="R188" s="304">
        <v>300</v>
      </c>
      <c r="S188" s="842">
        <v>13471</v>
      </c>
      <c r="T188" s="25">
        <f t="shared" si="5"/>
        <v>4041300</v>
      </c>
      <c r="U188" s="451"/>
      <c r="V188" s="810"/>
      <c r="W188" s="842"/>
      <c r="X188" s="842"/>
      <c r="Y188" s="25">
        <f t="shared" si="6"/>
        <v>0</v>
      </c>
    </row>
    <row r="189" spans="1:25">
      <c r="A189" s="847">
        <f t="shared" si="7"/>
        <v>184</v>
      </c>
      <c r="B189" s="297" t="s">
        <v>1236</v>
      </c>
      <c r="C189" s="25">
        <f t="shared" si="2"/>
        <v>184128</v>
      </c>
      <c r="D189" s="797">
        <f t="shared" si="78"/>
        <v>300719.82985839708</v>
      </c>
      <c r="E189" s="797">
        <f t="shared" si="78"/>
        <v>33656.772035700647</v>
      </c>
      <c r="F189" s="797">
        <f t="shared" si="78"/>
        <v>183562.06714776508</v>
      </c>
      <c r="G189" s="797">
        <f t="shared" si="78"/>
        <v>136013.30594586732</v>
      </c>
      <c r="H189" s="797">
        <f t="shared" si="78"/>
        <v>34035.515060076708</v>
      </c>
      <c r="I189" s="25">
        <f t="shared" si="1"/>
        <v>872115.49004780687</v>
      </c>
      <c r="J189" s="797">
        <v>410</v>
      </c>
      <c r="K189" s="797">
        <f t="shared" si="3"/>
        <v>2127.1109513361143</v>
      </c>
      <c r="L189" s="698"/>
      <c r="M189" s="698"/>
      <c r="N189" s="297" t="s">
        <v>1366</v>
      </c>
      <c r="O189" s="810">
        <f t="shared" si="64"/>
        <v>40995</v>
      </c>
      <c r="P189" s="810">
        <v>40998</v>
      </c>
      <c r="Q189" s="811" t="s">
        <v>1561</v>
      </c>
      <c r="R189" s="304">
        <v>21</v>
      </c>
      <c r="S189" s="842">
        <v>8768</v>
      </c>
      <c r="T189" s="25">
        <f t="shared" si="5"/>
        <v>184128</v>
      </c>
      <c r="U189" s="451"/>
      <c r="V189" s="810"/>
      <c r="W189" s="842"/>
      <c r="X189" s="842"/>
      <c r="Y189" s="25">
        <f t="shared" si="6"/>
        <v>0</v>
      </c>
    </row>
    <row r="190" spans="1:25">
      <c r="A190" s="847">
        <f t="shared" si="7"/>
        <v>185</v>
      </c>
      <c r="B190" s="297" t="s">
        <v>1485</v>
      </c>
      <c r="C190" s="25">
        <f t="shared" si="2"/>
        <v>192896</v>
      </c>
      <c r="D190" s="797">
        <f t="shared" si="78"/>
        <v>161361.85992401795</v>
      </c>
      <c r="E190" s="797">
        <f t="shared" si="78"/>
        <v>18059.731336229619</v>
      </c>
      <c r="F190" s="797">
        <f t="shared" si="78"/>
        <v>98496.718957337362</v>
      </c>
      <c r="G190" s="797">
        <f t="shared" si="78"/>
        <v>72982.749531928814</v>
      </c>
      <c r="H190" s="797">
        <f t="shared" si="78"/>
        <v>18262.959300528964</v>
      </c>
      <c r="I190" s="25">
        <f t="shared" si="1"/>
        <v>562060.01905004273</v>
      </c>
      <c r="J190" s="797">
        <v>220</v>
      </c>
      <c r="K190" s="797">
        <f t="shared" si="3"/>
        <v>2554.8182684092853</v>
      </c>
      <c r="L190" s="698"/>
      <c r="M190" s="698"/>
      <c r="N190" s="297" t="s">
        <v>1366</v>
      </c>
      <c r="O190" s="810">
        <f t="shared" si="64"/>
        <v>40995</v>
      </c>
      <c r="P190" s="810">
        <v>40998</v>
      </c>
      <c r="Q190" s="811" t="s">
        <v>1561</v>
      </c>
      <c r="R190" s="304">
        <v>22</v>
      </c>
      <c r="S190" s="842">
        <v>8768</v>
      </c>
      <c r="T190" s="25">
        <f t="shared" si="5"/>
        <v>192896</v>
      </c>
      <c r="U190" s="451"/>
      <c r="V190" s="810"/>
      <c r="W190" s="842"/>
      <c r="X190" s="842"/>
      <c r="Y190" s="25">
        <f t="shared" si="6"/>
        <v>0</v>
      </c>
    </row>
    <row r="191" spans="1:25" s="815" customFormat="1">
      <c r="A191" s="796"/>
      <c r="B191" s="297"/>
      <c r="C191" s="25"/>
      <c r="D191" s="797"/>
      <c r="E191" s="797"/>
      <c r="F191" s="797"/>
      <c r="G191" s="797"/>
      <c r="H191" s="797"/>
      <c r="I191" s="25"/>
      <c r="J191" s="254"/>
      <c r="K191" s="797"/>
      <c r="L191" s="698"/>
      <c r="M191" s="698"/>
      <c r="N191" s="813"/>
      <c r="O191" s="812"/>
      <c r="P191" s="907"/>
      <c r="Q191" s="814"/>
      <c r="R191" s="859"/>
      <c r="S191" s="841"/>
      <c r="T191" s="841"/>
      <c r="U191" s="813"/>
      <c r="V191" s="812"/>
      <c r="W191" s="841"/>
      <c r="X191" s="841"/>
      <c r="Y191" s="8"/>
    </row>
    <row r="192" spans="1:25" s="794" customFormat="1">
      <c r="A192" s="798"/>
      <c r="B192" s="799" t="s">
        <v>268</v>
      </c>
      <c r="C192" s="544">
        <f>SUM(C6:C191)</f>
        <v>417455123</v>
      </c>
      <c r="D192" s="544">
        <v>40350000</v>
      </c>
      <c r="E192" s="544">
        <f>$Y$192</f>
        <v>4516000</v>
      </c>
      <c r="F192" s="544">
        <v>24630000</v>
      </c>
      <c r="G192" s="544">
        <v>18250000</v>
      </c>
      <c r="H192" s="544">
        <v>4566819</v>
      </c>
      <c r="I192" s="544">
        <f>ROUND(SUM(I6:I191),0)</f>
        <v>509767942</v>
      </c>
      <c r="J192" s="544">
        <f>ROUND(SUM(J6:J191),0)</f>
        <v>55013</v>
      </c>
      <c r="K192" s="544"/>
      <c r="L192" s="807"/>
      <c r="M192" s="807"/>
      <c r="N192" s="816"/>
      <c r="O192" s="817"/>
      <c r="P192" s="817"/>
      <c r="Q192" s="818"/>
      <c r="R192" s="860"/>
      <c r="S192" s="47"/>
      <c r="T192" s="47">
        <f>SUM(T6:T191)</f>
        <v>417455123</v>
      </c>
      <c r="U192" s="816"/>
      <c r="V192" s="817"/>
      <c r="W192" s="830"/>
      <c r="X192" s="27"/>
      <c r="Y192" s="47">
        <f>SUM(Y6:Y191)</f>
        <v>4516000</v>
      </c>
    </row>
    <row r="193" spans="1:26" s="794" customFormat="1">
      <c r="A193" s="800"/>
      <c r="B193" s="801"/>
      <c r="C193" s="795"/>
      <c r="D193" s="795"/>
      <c r="E193" s="795"/>
      <c r="F193" s="795"/>
      <c r="G193" s="795"/>
      <c r="H193" s="795"/>
      <c r="I193" s="795"/>
      <c r="J193" s="795"/>
      <c r="K193" s="795"/>
      <c r="L193" s="807"/>
      <c r="M193" s="807"/>
      <c r="N193" s="453"/>
      <c r="O193" s="819"/>
      <c r="P193" s="819"/>
      <c r="Q193" s="820"/>
      <c r="R193" s="861"/>
      <c r="S193" s="809"/>
      <c r="T193" s="821"/>
      <c r="U193" s="453"/>
      <c r="V193" s="819"/>
      <c r="W193" s="809"/>
      <c r="X193" s="809"/>
      <c r="Y193" s="793"/>
    </row>
    <row r="194" spans="1:26">
      <c r="C194" s="802"/>
      <c r="D194" s="802"/>
      <c r="E194" s="803"/>
      <c r="F194" s="803"/>
      <c r="I194" s="822"/>
      <c r="J194" s="795"/>
      <c r="N194" s="453"/>
      <c r="O194" s="819"/>
      <c r="P194" s="819"/>
      <c r="Q194" s="820"/>
      <c r="R194" s="861"/>
      <c r="S194" s="809"/>
      <c r="T194" s="821"/>
      <c r="U194" s="453"/>
      <c r="V194" s="819"/>
      <c r="W194" s="809"/>
      <c r="X194" s="809"/>
    </row>
    <row r="195" spans="1:26" ht="18" hidden="1" customHeight="1">
      <c r="A195" s="584" t="s">
        <v>557</v>
      </c>
      <c r="B195" s="794"/>
      <c r="C195" s="293"/>
      <c r="D195" s="293"/>
      <c r="E195" s="293"/>
      <c r="F195" s="293"/>
      <c r="G195" s="293"/>
      <c r="H195" s="293"/>
      <c r="I195" s="293"/>
      <c r="J195" s="613"/>
      <c r="K195" s="293"/>
      <c r="L195" s="807"/>
      <c r="M195" s="807"/>
      <c r="N195" s="453"/>
      <c r="O195" s="819"/>
      <c r="P195" s="819"/>
      <c r="Q195" s="820"/>
      <c r="R195" s="861"/>
      <c r="S195" s="809"/>
      <c r="T195" s="821"/>
      <c r="U195" s="453"/>
      <c r="V195" s="819"/>
      <c r="W195" s="809"/>
      <c r="X195" s="809"/>
      <c r="Z195" s="802"/>
    </row>
    <row r="196" spans="1:26" ht="18.75" customHeight="1">
      <c r="A196" s="795" t="s">
        <v>1105</v>
      </c>
      <c r="B196" s="795"/>
      <c r="C196" s="795"/>
      <c r="D196" s="795"/>
      <c r="E196" s="795"/>
      <c r="F196" s="795"/>
      <c r="G196" s="795"/>
      <c r="H196" s="795"/>
      <c r="I196" s="795"/>
      <c r="J196" s="795"/>
      <c r="K196" s="795"/>
      <c r="L196" s="807"/>
      <c r="M196" s="807"/>
      <c r="N196" s="453"/>
      <c r="O196" s="819"/>
      <c r="P196" s="819"/>
      <c r="Q196" s="820"/>
      <c r="R196" s="861"/>
      <c r="S196" s="809"/>
      <c r="T196" s="821"/>
      <c r="U196" s="453"/>
      <c r="V196" s="819"/>
      <c r="W196" s="809"/>
      <c r="X196" s="809"/>
    </row>
    <row r="197" spans="1:26" ht="12.75" customHeight="1">
      <c r="A197" s="846"/>
      <c r="B197" s="838"/>
      <c r="C197" s="838"/>
      <c r="D197" s="838"/>
      <c r="E197" s="838"/>
      <c r="F197" s="838"/>
      <c r="G197" s="838"/>
      <c r="H197" s="838"/>
      <c r="I197" s="838"/>
      <c r="J197" s="808"/>
      <c r="K197" s="838"/>
      <c r="L197" s="807"/>
      <c r="M197" s="807"/>
      <c r="N197" s="453"/>
      <c r="O197" s="819"/>
      <c r="P197" s="819"/>
      <c r="Q197" s="820"/>
      <c r="R197" s="861"/>
      <c r="S197" s="809"/>
      <c r="T197" s="821"/>
      <c r="U197" s="453"/>
      <c r="V197" s="819"/>
      <c r="W197" s="809"/>
      <c r="X197" s="809"/>
    </row>
    <row r="198" spans="1:26" s="450" customFormat="1" ht="30.75" customHeight="1">
      <c r="A198" s="866" t="s">
        <v>35</v>
      </c>
      <c r="B198" s="445" t="s">
        <v>258</v>
      </c>
      <c r="C198" s="446" t="s">
        <v>262</v>
      </c>
      <c r="D198" s="446" t="s">
        <v>512</v>
      </c>
      <c r="E198" s="446" t="s">
        <v>263</v>
      </c>
      <c r="F198" s="446" t="s">
        <v>504</v>
      </c>
      <c r="G198" s="447" t="s">
        <v>264</v>
      </c>
      <c r="H198" s="446" t="s">
        <v>503</v>
      </c>
      <c r="I198" s="446" t="s">
        <v>265</v>
      </c>
      <c r="J198" s="448" t="s">
        <v>260</v>
      </c>
      <c r="K198" s="446" t="s">
        <v>266</v>
      </c>
      <c r="L198" s="449"/>
      <c r="M198" s="449"/>
      <c r="N198" s="445" t="s">
        <v>258</v>
      </c>
      <c r="O198" s="446" t="s">
        <v>252</v>
      </c>
      <c r="P198" s="446"/>
      <c r="Q198" s="789"/>
      <c r="R198" s="858" t="s">
        <v>215</v>
      </c>
      <c r="S198" s="446" t="s">
        <v>261</v>
      </c>
      <c r="T198" s="446" t="s">
        <v>267</v>
      </c>
      <c r="U198" s="445" t="s">
        <v>258</v>
      </c>
      <c r="V198" s="446" t="s">
        <v>252</v>
      </c>
      <c r="W198" s="446" t="s">
        <v>215</v>
      </c>
      <c r="X198" s="446" t="s">
        <v>261</v>
      </c>
      <c r="Y198" s="445" t="s">
        <v>267</v>
      </c>
    </row>
    <row r="199" spans="1:26">
      <c r="A199" s="796">
        <f>IF(B199&lt;&gt;"",1,"")</f>
        <v>1</v>
      </c>
      <c r="B199" s="865" t="s">
        <v>1145</v>
      </c>
      <c r="C199" s="836">
        <f>T199</f>
        <v>4759560</v>
      </c>
      <c r="D199" s="836">
        <f t="shared" ref="D199:H208" si="79">IF($J$371&lt;&gt;0,D$371/$J$371*$J199,0)</f>
        <v>263085.83052969247</v>
      </c>
      <c r="E199" s="836">
        <f t="shared" si="79"/>
        <v>86017.982421824054</v>
      </c>
      <c r="F199" s="834">
        <f t="shared" si="79"/>
        <v>159924.88850637665</v>
      </c>
      <c r="G199" s="834">
        <f t="shared" si="79"/>
        <v>118991.73251962548</v>
      </c>
      <c r="H199" s="836">
        <f t="shared" si="79"/>
        <v>0</v>
      </c>
      <c r="I199" s="836">
        <f t="shared" ref="I199:I356" si="80">ROUND(SUM(C199:H199),0)</f>
        <v>5387580</v>
      </c>
      <c r="J199" s="836">
        <v>500</v>
      </c>
      <c r="K199" s="834">
        <f>IF(J199&lt;&gt;"",I199/J199,"")</f>
        <v>10775.16</v>
      </c>
      <c r="L199" s="698"/>
      <c r="M199" s="698"/>
      <c r="N199" s="192" t="s">
        <v>1298</v>
      </c>
      <c r="O199" s="810">
        <f t="shared" ref="O199:O262" si="81">P199-3</f>
        <v>41000</v>
      </c>
      <c r="P199" s="810">
        <v>41003</v>
      </c>
      <c r="Q199" s="811" t="s">
        <v>965</v>
      </c>
      <c r="R199" s="304">
        <v>260</v>
      </c>
      <c r="S199" s="842">
        <v>18306</v>
      </c>
      <c r="T199" s="25">
        <f>R199*S199</f>
        <v>4759560</v>
      </c>
      <c r="U199" s="189" t="s">
        <v>403</v>
      </c>
      <c r="V199" s="810">
        <v>41000</v>
      </c>
      <c r="W199" s="842">
        <v>50</v>
      </c>
      <c r="X199" s="842">
        <v>25000</v>
      </c>
      <c r="Y199" s="25">
        <f>W199*X199</f>
        <v>1250000</v>
      </c>
    </row>
    <row r="200" spans="1:26">
      <c r="A200" s="847">
        <f>IF(B200&lt;&gt;"",A199+1,"")</f>
        <v>2</v>
      </c>
      <c r="B200" s="298" t="s">
        <v>1220</v>
      </c>
      <c r="C200" s="864">
        <f t="shared" ref="C200:C351" si="82">T200</f>
        <v>1189140</v>
      </c>
      <c r="D200" s="543">
        <f t="shared" si="79"/>
        <v>105234.332211877</v>
      </c>
      <c r="E200" s="543">
        <f t="shared" si="79"/>
        <v>34407.192968729621</v>
      </c>
      <c r="F200" s="543">
        <f t="shared" si="79"/>
        <v>63969.955402550659</v>
      </c>
      <c r="G200" s="543">
        <f t="shared" si="79"/>
        <v>47596.693007850197</v>
      </c>
      <c r="H200" s="543">
        <f t="shared" si="79"/>
        <v>0</v>
      </c>
      <c r="I200" s="836">
        <f t="shared" si="80"/>
        <v>1440348</v>
      </c>
      <c r="J200" s="543">
        <v>200</v>
      </c>
      <c r="K200" s="543">
        <f t="shared" ref="K200:K201" si="83">IF(J200&lt;&gt;"",I200/J200,"")</f>
        <v>7201.74</v>
      </c>
      <c r="L200" s="698"/>
      <c r="M200" s="698"/>
      <c r="N200" s="192" t="s">
        <v>1394</v>
      </c>
      <c r="O200" s="810">
        <f t="shared" si="81"/>
        <v>41000</v>
      </c>
      <c r="P200" s="810">
        <v>41003</v>
      </c>
      <c r="Q200" s="811" t="s">
        <v>965</v>
      </c>
      <c r="R200" s="304">
        <v>60</v>
      </c>
      <c r="S200" s="842">
        <v>19819</v>
      </c>
      <c r="T200" s="25">
        <f t="shared" ref="T200" si="84">R200*S200</f>
        <v>1189140</v>
      </c>
      <c r="U200" s="189" t="s">
        <v>403</v>
      </c>
      <c r="V200" s="191">
        <v>41052</v>
      </c>
      <c r="W200" s="842">
        <v>50</v>
      </c>
      <c r="X200" s="842">
        <v>25000</v>
      </c>
      <c r="Y200" s="8">
        <f t="shared" ref="Y200" si="85">W200*X200</f>
        <v>1250000</v>
      </c>
    </row>
    <row r="201" spans="1:26">
      <c r="A201" s="835">
        <f>IF(B201&lt;&gt;"",A200+1,"")</f>
        <v>3</v>
      </c>
      <c r="B201" s="297" t="s">
        <v>1219</v>
      </c>
      <c r="C201" s="864">
        <f t="shared" si="82"/>
        <v>2972850</v>
      </c>
      <c r="D201" s="254">
        <f t="shared" si="79"/>
        <v>266769.03215710819</v>
      </c>
      <c r="E201" s="254">
        <f t="shared" si="79"/>
        <v>87222.234175729594</v>
      </c>
      <c r="F201" s="254">
        <f t="shared" si="79"/>
        <v>162163.83694546591</v>
      </c>
      <c r="G201" s="254">
        <f t="shared" si="79"/>
        <v>120657.61677490025</v>
      </c>
      <c r="H201" s="254">
        <f t="shared" si="79"/>
        <v>0</v>
      </c>
      <c r="I201" s="836">
        <f t="shared" si="80"/>
        <v>3609663</v>
      </c>
      <c r="J201" s="254">
        <v>507</v>
      </c>
      <c r="K201" s="254">
        <f t="shared" si="83"/>
        <v>7119.6508875739646</v>
      </c>
      <c r="L201" s="698"/>
      <c r="M201" s="698"/>
      <c r="N201" s="192" t="s">
        <v>1394</v>
      </c>
      <c r="O201" s="810">
        <f t="shared" si="81"/>
        <v>41000</v>
      </c>
      <c r="P201" s="810">
        <v>41003</v>
      </c>
      <c r="Q201" s="811" t="s">
        <v>966</v>
      </c>
      <c r="R201" s="304">
        <v>150</v>
      </c>
      <c r="S201" s="842">
        <v>19819</v>
      </c>
      <c r="T201" s="8">
        <f t="shared" ref="T201" si="86">R201*S201</f>
        <v>2972850</v>
      </c>
      <c r="U201" s="189" t="s">
        <v>370</v>
      </c>
      <c r="V201" s="812">
        <v>41054</v>
      </c>
      <c r="W201" s="842">
        <v>48</v>
      </c>
      <c r="X201" s="842">
        <v>42000</v>
      </c>
      <c r="Y201" s="8">
        <f t="shared" ref="Y201:Y202" si="87">W201*X201</f>
        <v>2016000</v>
      </c>
    </row>
    <row r="202" spans="1:26">
      <c r="A202" s="835">
        <f t="shared" ref="A202:A265" si="88">IF(B202&lt;&gt;"",A201+1,"")</f>
        <v>4</v>
      </c>
      <c r="B202" s="297" t="s">
        <v>1157</v>
      </c>
      <c r="C202" s="864">
        <f t="shared" si="82"/>
        <v>12367500</v>
      </c>
      <c r="D202" s="254">
        <f t="shared" si="79"/>
        <v>782943.43165636482</v>
      </c>
      <c r="E202" s="254">
        <f t="shared" si="79"/>
        <v>255989.51568734841</v>
      </c>
      <c r="F202" s="254">
        <f t="shared" si="79"/>
        <v>475936.46819497691</v>
      </c>
      <c r="G202" s="254">
        <f t="shared" si="79"/>
        <v>354119.39597840543</v>
      </c>
      <c r="H202" s="254">
        <f t="shared" si="79"/>
        <v>0</v>
      </c>
      <c r="I202" s="836">
        <f t="shared" si="80"/>
        <v>14236489</v>
      </c>
      <c r="J202" s="254">
        <v>1488</v>
      </c>
      <c r="K202" s="254">
        <f t="shared" ref="K202:K203" si="89">IF(J202&lt;&gt;"",I202/J202,"")</f>
        <v>9567.5329301075271</v>
      </c>
      <c r="L202" s="698"/>
      <c r="M202" s="698"/>
      <c r="N202" s="192" t="s">
        <v>1307</v>
      </c>
      <c r="O202" s="810">
        <f t="shared" si="81"/>
        <v>41001</v>
      </c>
      <c r="P202" s="810">
        <v>41004</v>
      </c>
      <c r="Q202" s="811" t="s">
        <v>967</v>
      </c>
      <c r="R202" s="304">
        <v>425</v>
      </c>
      <c r="S202" s="255">
        <v>29100</v>
      </c>
      <c r="T202" s="8">
        <f t="shared" ref="T202:T203" si="90">R202*S202</f>
        <v>12367500</v>
      </c>
      <c r="U202" s="867" t="s">
        <v>742</v>
      </c>
      <c r="V202" s="812">
        <v>41060</v>
      </c>
      <c r="W202" s="840">
        <v>34707</v>
      </c>
      <c r="X202" s="840">
        <v>250</v>
      </c>
      <c r="Y202" s="8">
        <f t="shared" si="87"/>
        <v>8676750</v>
      </c>
    </row>
    <row r="203" spans="1:26">
      <c r="A203" s="835">
        <f t="shared" si="88"/>
        <v>5</v>
      </c>
      <c r="B203" s="297" t="s">
        <v>1121</v>
      </c>
      <c r="C203" s="864">
        <f t="shared" si="82"/>
        <v>2792270</v>
      </c>
      <c r="D203" s="254">
        <f t="shared" si="79"/>
        <v>220992.09764494168</v>
      </c>
      <c r="E203" s="254">
        <f t="shared" si="79"/>
        <v>72255.105234332208</v>
      </c>
      <c r="F203" s="254">
        <f t="shared" si="79"/>
        <v>134336.90634535637</v>
      </c>
      <c r="G203" s="254">
        <f t="shared" si="79"/>
        <v>99953.055316485406</v>
      </c>
      <c r="H203" s="254">
        <f t="shared" si="79"/>
        <v>0</v>
      </c>
      <c r="I203" s="836">
        <f t="shared" si="80"/>
        <v>3319807</v>
      </c>
      <c r="J203" s="254">
        <v>420</v>
      </c>
      <c r="K203" s="254">
        <f t="shared" si="89"/>
        <v>7904.3023809523811</v>
      </c>
      <c r="L203" s="698"/>
      <c r="M203" s="698"/>
      <c r="N203" s="192" t="s">
        <v>1431</v>
      </c>
      <c r="O203" s="810">
        <f t="shared" si="81"/>
        <v>41006</v>
      </c>
      <c r="P203" s="810">
        <v>41009</v>
      </c>
      <c r="Q203" s="811" t="s">
        <v>968</v>
      </c>
      <c r="R203" s="862">
        <v>235</v>
      </c>
      <c r="S203" s="255">
        <v>11882</v>
      </c>
      <c r="T203" s="8">
        <f t="shared" si="90"/>
        <v>2792270</v>
      </c>
      <c r="U203" s="189" t="s">
        <v>578</v>
      </c>
      <c r="V203" s="812">
        <v>41000</v>
      </c>
      <c r="W203" s="840"/>
      <c r="X203" s="840"/>
      <c r="Y203" s="8">
        <f t="shared" ref="Y203" si="91">W203*X203</f>
        <v>0</v>
      </c>
    </row>
    <row r="204" spans="1:26">
      <c r="A204" s="835">
        <f t="shared" si="88"/>
        <v>6</v>
      </c>
      <c r="B204" s="297" t="s">
        <v>1218</v>
      </c>
      <c r="C204" s="864">
        <f t="shared" si="82"/>
        <v>2572500</v>
      </c>
      <c r="D204" s="797">
        <f t="shared" si="79"/>
        <v>216782.72435646661</v>
      </c>
      <c r="E204" s="797">
        <f t="shared" si="79"/>
        <v>70878.817515583025</v>
      </c>
      <c r="F204" s="797">
        <f t="shared" si="79"/>
        <v>131778.10812925437</v>
      </c>
      <c r="G204" s="797">
        <f t="shared" si="79"/>
        <v>98049.187596171396</v>
      </c>
      <c r="H204" s="797">
        <f t="shared" si="79"/>
        <v>0</v>
      </c>
      <c r="I204" s="836">
        <f t="shared" si="80"/>
        <v>3089989</v>
      </c>
      <c r="J204" s="797">
        <v>412</v>
      </c>
      <c r="K204" s="797">
        <f t="shared" ref="K204:K356" si="92">IF(J204&lt;&gt;"",I204/J204,"")</f>
        <v>7499.9733009708734</v>
      </c>
      <c r="L204" s="698"/>
      <c r="M204" s="698"/>
      <c r="N204" s="192" t="s">
        <v>1446</v>
      </c>
      <c r="O204" s="810">
        <f t="shared" si="81"/>
        <v>41006</v>
      </c>
      <c r="P204" s="810">
        <v>41009</v>
      </c>
      <c r="Q204" s="811" t="s">
        <v>968</v>
      </c>
      <c r="R204" s="862">
        <v>250</v>
      </c>
      <c r="S204" s="255">
        <v>10290</v>
      </c>
      <c r="T204" s="8">
        <f t="shared" ref="T204:T356" si="93">R204*S204</f>
        <v>2572500</v>
      </c>
      <c r="U204" s="452"/>
      <c r="V204" s="812"/>
      <c r="W204" s="840"/>
      <c r="X204" s="840"/>
      <c r="Y204" s="8">
        <f t="shared" ref="Y204:Y356" si="94">W204*X204</f>
        <v>0</v>
      </c>
    </row>
    <row r="205" spans="1:26">
      <c r="A205" s="835">
        <f t="shared" si="88"/>
        <v>7</v>
      </c>
      <c r="B205" s="297" t="s">
        <v>1217</v>
      </c>
      <c r="C205" s="864">
        <f t="shared" si="82"/>
        <v>1111200</v>
      </c>
      <c r="D205" s="797">
        <f t="shared" si="79"/>
        <v>526171.66105938493</v>
      </c>
      <c r="E205" s="797">
        <f t="shared" si="79"/>
        <v>172035.96484364811</v>
      </c>
      <c r="F205" s="797">
        <f t="shared" si="79"/>
        <v>319849.7770127533</v>
      </c>
      <c r="G205" s="797">
        <f t="shared" si="79"/>
        <v>237983.46503925096</v>
      </c>
      <c r="H205" s="797">
        <f t="shared" si="79"/>
        <v>0</v>
      </c>
      <c r="I205" s="836">
        <f t="shared" si="80"/>
        <v>2367241</v>
      </c>
      <c r="J205" s="797">
        <v>1000</v>
      </c>
      <c r="K205" s="797">
        <f t="shared" si="92"/>
        <v>2367.241</v>
      </c>
      <c r="L205" s="698"/>
      <c r="M205" s="698"/>
      <c r="N205" s="192" t="s">
        <v>1417</v>
      </c>
      <c r="O205" s="810">
        <f t="shared" si="81"/>
        <v>41006</v>
      </c>
      <c r="P205" s="810">
        <v>41009</v>
      </c>
      <c r="Q205" s="811" t="s">
        <v>969</v>
      </c>
      <c r="R205" s="304">
        <v>50</v>
      </c>
      <c r="S205" s="255">
        <v>22224</v>
      </c>
      <c r="T205" s="8">
        <f t="shared" si="93"/>
        <v>1111200</v>
      </c>
      <c r="U205" s="452"/>
      <c r="V205" s="812"/>
      <c r="W205" s="840"/>
      <c r="X205" s="840"/>
      <c r="Y205" s="8">
        <f t="shared" si="94"/>
        <v>0</v>
      </c>
    </row>
    <row r="206" spans="1:26">
      <c r="A206" s="835">
        <f t="shared" si="88"/>
        <v>8</v>
      </c>
      <c r="B206" s="297" t="s">
        <v>1216</v>
      </c>
      <c r="C206" s="864">
        <f t="shared" si="82"/>
        <v>83967</v>
      </c>
      <c r="D206" s="797">
        <f t="shared" si="79"/>
        <v>789257.49158907752</v>
      </c>
      <c r="E206" s="797">
        <f t="shared" si="79"/>
        <v>258053.94726547218</v>
      </c>
      <c r="F206" s="797">
        <f t="shared" si="79"/>
        <v>479774.66551912995</v>
      </c>
      <c r="G206" s="797">
        <f t="shared" si="79"/>
        <v>356975.19755887648</v>
      </c>
      <c r="H206" s="797">
        <f t="shared" si="79"/>
        <v>0</v>
      </c>
      <c r="I206" s="836">
        <f t="shared" si="80"/>
        <v>1968028</v>
      </c>
      <c r="J206" s="797">
        <v>1500</v>
      </c>
      <c r="K206" s="797">
        <f t="shared" si="92"/>
        <v>1312.0186666666666</v>
      </c>
      <c r="L206" s="698"/>
      <c r="M206" s="698"/>
      <c r="N206" s="192" t="s">
        <v>1288</v>
      </c>
      <c r="O206" s="810">
        <f t="shared" si="81"/>
        <v>41006</v>
      </c>
      <c r="P206" s="810">
        <v>41009</v>
      </c>
      <c r="Q206" s="811" t="s">
        <v>969</v>
      </c>
      <c r="R206" s="862">
        <v>7</v>
      </c>
      <c r="S206" s="255">
        <v>11995.285714285714</v>
      </c>
      <c r="T206" s="8">
        <f t="shared" si="93"/>
        <v>83967</v>
      </c>
      <c r="U206" s="452"/>
      <c r="V206" s="812"/>
      <c r="W206" s="840"/>
      <c r="X206" s="840"/>
      <c r="Y206" s="8">
        <f t="shared" si="94"/>
        <v>0</v>
      </c>
    </row>
    <row r="207" spans="1:26">
      <c r="A207" s="835">
        <f t="shared" si="88"/>
        <v>9</v>
      </c>
      <c r="B207" s="297" t="s">
        <v>1214</v>
      </c>
      <c r="C207" s="864">
        <f t="shared" si="82"/>
        <v>1244405</v>
      </c>
      <c r="D207" s="797">
        <f t="shared" si="79"/>
        <v>44724.591190047722</v>
      </c>
      <c r="E207" s="797">
        <f t="shared" si="79"/>
        <v>14623.057011710091</v>
      </c>
      <c r="F207" s="797">
        <f t="shared" si="79"/>
        <v>27187.231046084031</v>
      </c>
      <c r="G207" s="797">
        <f t="shared" si="79"/>
        <v>20228.594528336333</v>
      </c>
      <c r="H207" s="797">
        <f t="shared" si="79"/>
        <v>0</v>
      </c>
      <c r="I207" s="836">
        <f t="shared" si="80"/>
        <v>1351168</v>
      </c>
      <c r="J207" s="797">
        <v>85</v>
      </c>
      <c r="K207" s="797">
        <f t="shared" si="92"/>
        <v>15896.094117647059</v>
      </c>
      <c r="L207" s="698"/>
      <c r="M207" s="698"/>
      <c r="N207" s="192" t="s">
        <v>1391</v>
      </c>
      <c r="O207" s="810">
        <f t="shared" si="81"/>
        <v>41007</v>
      </c>
      <c r="P207" s="810">
        <v>41010</v>
      </c>
      <c r="Q207" s="811" t="s">
        <v>970</v>
      </c>
      <c r="R207" s="304">
        <v>95</v>
      </c>
      <c r="S207" s="255">
        <v>13099</v>
      </c>
      <c r="T207" s="8">
        <f t="shared" si="93"/>
        <v>1244405</v>
      </c>
      <c r="U207" s="452"/>
      <c r="V207" s="812"/>
      <c r="W207" s="840"/>
      <c r="X207" s="840"/>
      <c r="Y207" s="8">
        <f t="shared" si="94"/>
        <v>0</v>
      </c>
    </row>
    <row r="208" spans="1:26">
      <c r="A208" s="835">
        <f t="shared" si="88"/>
        <v>10</v>
      </c>
      <c r="B208" s="297" t="s">
        <v>1213</v>
      </c>
      <c r="C208" s="864">
        <f t="shared" si="82"/>
        <v>7621120</v>
      </c>
      <c r="D208" s="797">
        <f t="shared" si="79"/>
        <v>494601.36139582185</v>
      </c>
      <c r="E208" s="797">
        <f t="shared" si="79"/>
        <v>161713.80695302924</v>
      </c>
      <c r="F208" s="797">
        <f t="shared" si="79"/>
        <v>300658.79039198812</v>
      </c>
      <c r="G208" s="797">
        <f t="shared" si="79"/>
        <v>223704.45713689592</v>
      </c>
      <c r="H208" s="797">
        <f t="shared" si="79"/>
        <v>0</v>
      </c>
      <c r="I208" s="836">
        <f t="shared" si="80"/>
        <v>8801798</v>
      </c>
      <c r="J208" s="797">
        <v>940</v>
      </c>
      <c r="K208" s="797">
        <f t="shared" si="92"/>
        <v>9363.6148936170212</v>
      </c>
      <c r="L208" s="698"/>
      <c r="M208" s="698"/>
      <c r="N208" s="189" t="s">
        <v>1370</v>
      </c>
      <c r="O208" s="810">
        <f t="shared" si="81"/>
        <v>41013</v>
      </c>
      <c r="P208" s="810">
        <v>41016</v>
      </c>
      <c r="Q208" s="811" t="s">
        <v>971</v>
      </c>
      <c r="R208" s="304">
        <v>520</v>
      </c>
      <c r="S208" s="252">
        <v>14656</v>
      </c>
      <c r="T208" s="8">
        <f t="shared" si="93"/>
        <v>7621120</v>
      </c>
      <c r="U208" s="452"/>
      <c r="V208" s="812"/>
      <c r="W208" s="840"/>
      <c r="X208" s="840"/>
      <c r="Y208" s="8">
        <f t="shared" si="94"/>
        <v>0</v>
      </c>
    </row>
    <row r="209" spans="1:25">
      <c r="A209" s="835">
        <f t="shared" si="88"/>
        <v>11</v>
      </c>
      <c r="B209" s="297" t="s">
        <v>1563</v>
      </c>
      <c r="C209" s="864">
        <f t="shared" si="82"/>
        <v>2268063</v>
      </c>
      <c r="D209" s="797">
        <f t="shared" ref="D209:H218" si="95">IF($J$371&lt;&gt;0,D$371/$J$371*$J209,0)</f>
        <v>76821.062514670208</v>
      </c>
      <c r="E209" s="797">
        <f t="shared" si="95"/>
        <v>25117.250867172625</v>
      </c>
      <c r="F209" s="797">
        <f t="shared" si="95"/>
        <v>46698.067443861983</v>
      </c>
      <c r="G209" s="797">
        <f t="shared" si="95"/>
        <v>34745.585895730641</v>
      </c>
      <c r="H209" s="797">
        <f t="shared" si="95"/>
        <v>0</v>
      </c>
      <c r="I209" s="836">
        <f t="shared" si="80"/>
        <v>2451445</v>
      </c>
      <c r="J209" s="797">
        <v>146</v>
      </c>
      <c r="K209" s="797">
        <f t="shared" si="92"/>
        <v>16790.719178082192</v>
      </c>
      <c r="L209" s="698"/>
      <c r="M209" s="698"/>
      <c r="N209" s="192" t="s">
        <v>1412</v>
      </c>
      <c r="O209" s="810">
        <f t="shared" si="81"/>
        <v>41013</v>
      </c>
      <c r="P209" s="810">
        <v>41016</v>
      </c>
      <c r="Q209" s="811" t="s">
        <v>1562</v>
      </c>
      <c r="R209" s="304">
        <v>147</v>
      </c>
      <c r="S209" s="255">
        <v>15429</v>
      </c>
      <c r="T209" s="8">
        <f t="shared" si="93"/>
        <v>2268063</v>
      </c>
      <c r="U209" s="452"/>
      <c r="V209" s="812"/>
      <c r="W209" s="840"/>
      <c r="X209" s="840"/>
      <c r="Y209" s="8">
        <f t="shared" si="94"/>
        <v>0</v>
      </c>
    </row>
    <row r="210" spans="1:25">
      <c r="A210" s="835">
        <f t="shared" si="88"/>
        <v>12</v>
      </c>
      <c r="B210" s="297" t="s">
        <v>1564</v>
      </c>
      <c r="C210" s="864">
        <f t="shared" si="82"/>
        <v>2973400</v>
      </c>
      <c r="D210" s="797">
        <f t="shared" si="95"/>
        <v>51038.651122760341</v>
      </c>
      <c r="E210" s="797">
        <f t="shared" si="95"/>
        <v>16687.488589833869</v>
      </c>
      <c r="F210" s="797">
        <f t="shared" si="95"/>
        <v>31025.42837023707</v>
      </c>
      <c r="G210" s="797">
        <f t="shared" si="95"/>
        <v>23084.396108807345</v>
      </c>
      <c r="H210" s="797">
        <f t="shared" si="95"/>
        <v>0</v>
      </c>
      <c r="I210" s="836">
        <f t="shared" si="80"/>
        <v>3095236</v>
      </c>
      <c r="J210" s="797">
        <v>97</v>
      </c>
      <c r="K210" s="797">
        <f t="shared" si="92"/>
        <v>31909.649484536083</v>
      </c>
      <c r="L210" s="698"/>
      <c r="M210" s="698"/>
      <c r="N210" s="192" t="s">
        <v>1319</v>
      </c>
      <c r="O210" s="810">
        <f t="shared" si="81"/>
        <v>41013</v>
      </c>
      <c r="P210" s="810">
        <v>41016</v>
      </c>
      <c r="Q210" s="811" t="s">
        <v>1562</v>
      </c>
      <c r="R210" s="862">
        <v>100</v>
      </c>
      <c r="S210" s="252">
        <v>29734</v>
      </c>
      <c r="T210" s="8">
        <f t="shared" si="93"/>
        <v>2973400</v>
      </c>
      <c r="U210" s="452"/>
      <c r="V210" s="812"/>
      <c r="W210" s="840"/>
      <c r="X210" s="840"/>
      <c r="Y210" s="8">
        <f t="shared" si="94"/>
        <v>0</v>
      </c>
    </row>
    <row r="211" spans="1:25">
      <c r="A211" s="835">
        <f t="shared" si="88"/>
        <v>13</v>
      </c>
      <c r="B211" s="297" t="s">
        <v>1565</v>
      </c>
      <c r="C211" s="864">
        <f t="shared" si="82"/>
        <v>3132087</v>
      </c>
      <c r="D211" s="797">
        <f t="shared" si="95"/>
        <v>105760.50387293637</v>
      </c>
      <c r="E211" s="797">
        <f t="shared" si="95"/>
        <v>34579.228933573271</v>
      </c>
      <c r="F211" s="797">
        <f t="shared" si="95"/>
        <v>64289.805179563409</v>
      </c>
      <c r="G211" s="797">
        <f t="shared" si="95"/>
        <v>47834.676472889449</v>
      </c>
      <c r="H211" s="797">
        <f t="shared" si="95"/>
        <v>0</v>
      </c>
      <c r="I211" s="836">
        <f t="shared" si="80"/>
        <v>3384551</v>
      </c>
      <c r="J211" s="797">
        <v>201</v>
      </c>
      <c r="K211" s="797">
        <f t="shared" si="92"/>
        <v>16838.562189054726</v>
      </c>
      <c r="L211" s="698"/>
      <c r="M211" s="698"/>
      <c r="N211" s="192" t="s">
        <v>1412</v>
      </c>
      <c r="O211" s="810">
        <f t="shared" si="81"/>
        <v>41013</v>
      </c>
      <c r="P211" s="810">
        <v>41016</v>
      </c>
      <c r="Q211" s="811" t="s">
        <v>1562</v>
      </c>
      <c r="R211" s="304">
        <v>203</v>
      </c>
      <c r="S211" s="255">
        <v>15429</v>
      </c>
      <c r="T211" s="8">
        <f t="shared" si="93"/>
        <v>3132087</v>
      </c>
      <c r="U211" s="452"/>
      <c r="V211" s="812"/>
      <c r="W211" s="840"/>
      <c r="X211" s="840"/>
      <c r="Y211" s="8">
        <f t="shared" si="94"/>
        <v>0</v>
      </c>
    </row>
    <row r="212" spans="1:25">
      <c r="A212" s="835">
        <f t="shared" si="88"/>
        <v>14</v>
      </c>
      <c r="B212" s="297" t="s">
        <v>1212</v>
      </c>
      <c r="C212" s="864">
        <f t="shared" si="82"/>
        <v>3199680</v>
      </c>
      <c r="D212" s="797">
        <f t="shared" si="95"/>
        <v>57878.882716532346</v>
      </c>
      <c r="E212" s="797">
        <f t="shared" si="95"/>
        <v>18923.956132801293</v>
      </c>
      <c r="F212" s="797">
        <f t="shared" si="95"/>
        <v>35183.47547140286</v>
      </c>
      <c r="G212" s="797">
        <f t="shared" si="95"/>
        <v>26178.181154317608</v>
      </c>
      <c r="H212" s="797">
        <f t="shared" si="95"/>
        <v>0</v>
      </c>
      <c r="I212" s="836">
        <f t="shared" si="80"/>
        <v>3337844</v>
      </c>
      <c r="J212" s="797">
        <v>110</v>
      </c>
      <c r="K212" s="797">
        <f t="shared" si="92"/>
        <v>30344.036363636365</v>
      </c>
      <c r="L212" s="698"/>
      <c r="M212" s="698"/>
      <c r="N212" s="192" t="s">
        <v>1320</v>
      </c>
      <c r="O212" s="810">
        <f t="shared" si="81"/>
        <v>41013</v>
      </c>
      <c r="P212" s="810">
        <v>41016</v>
      </c>
      <c r="Q212" s="811" t="s">
        <v>972</v>
      </c>
      <c r="R212" s="304">
        <v>120</v>
      </c>
      <c r="S212" s="252">
        <v>26664</v>
      </c>
      <c r="T212" s="8">
        <f t="shared" si="93"/>
        <v>3199680</v>
      </c>
      <c r="U212" s="452"/>
      <c r="V212" s="812"/>
      <c r="W212" s="840"/>
      <c r="X212" s="840"/>
      <c r="Y212" s="8">
        <f t="shared" si="94"/>
        <v>0</v>
      </c>
    </row>
    <row r="213" spans="1:25">
      <c r="A213" s="835">
        <f t="shared" si="88"/>
        <v>15</v>
      </c>
      <c r="B213" s="297" t="s">
        <v>1146</v>
      </c>
      <c r="C213" s="864">
        <f t="shared" si="82"/>
        <v>3806400</v>
      </c>
      <c r="D213" s="797">
        <f t="shared" si="95"/>
        <v>44724.591190047722</v>
      </c>
      <c r="E213" s="797">
        <f t="shared" si="95"/>
        <v>14623.057011710091</v>
      </c>
      <c r="F213" s="797">
        <f t="shared" si="95"/>
        <v>27187.231046084031</v>
      </c>
      <c r="G213" s="797">
        <f t="shared" si="95"/>
        <v>20228.594528336333</v>
      </c>
      <c r="H213" s="797">
        <f t="shared" si="95"/>
        <v>0</v>
      </c>
      <c r="I213" s="836">
        <f t="shared" si="80"/>
        <v>3913163</v>
      </c>
      <c r="J213" s="797">
        <v>85</v>
      </c>
      <c r="K213" s="797">
        <f t="shared" si="92"/>
        <v>46037.211764705884</v>
      </c>
      <c r="L213" s="698"/>
      <c r="M213" s="698"/>
      <c r="N213" s="192" t="s">
        <v>1333</v>
      </c>
      <c r="O213" s="810">
        <f t="shared" si="81"/>
        <v>41013</v>
      </c>
      <c r="P213" s="810">
        <v>41016</v>
      </c>
      <c r="Q213" s="811" t="s">
        <v>972</v>
      </c>
      <c r="R213" s="304">
        <v>150</v>
      </c>
      <c r="S213" s="252">
        <v>25376</v>
      </c>
      <c r="T213" s="8">
        <f t="shared" si="93"/>
        <v>3806400</v>
      </c>
      <c r="U213" s="452"/>
      <c r="V213" s="812"/>
      <c r="W213" s="840"/>
      <c r="X213" s="840"/>
      <c r="Y213" s="8">
        <f t="shared" si="94"/>
        <v>0</v>
      </c>
    </row>
    <row r="214" spans="1:25">
      <c r="A214" s="835">
        <f t="shared" si="88"/>
        <v>16</v>
      </c>
      <c r="B214" s="297" t="s">
        <v>973</v>
      </c>
      <c r="C214" s="864">
        <f t="shared" si="82"/>
        <v>2256285.1664984864</v>
      </c>
      <c r="D214" s="797">
        <f t="shared" si="95"/>
        <v>78925.74915890774</v>
      </c>
      <c r="E214" s="797">
        <f t="shared" si="95"/>
        <v>25805.394726547216</v>
      </c>
      <c r="F214" s="797">
        <f t="shared" si="95"/>
        <v>47977.466551912992</v>
      </c>
      <c r="G214" s="797">
        <f t="shared" si="95"/>
        <v>35697.519755887646</v>
      </c>
      <c r="H214" s="797">
        <f t="shared" si="95"/>
        <v>0</v>
      </c>
      <c r="I214" s="836">
        <f t="shared" si="80"/>
        <v>2444691</v>
      </c>
      <c r="J214" s="797">
        <v>150</v>
      </c>
      <c r="K214" s="797">
        <f t="shared" si="92"/>
        <v>16297.94</v>
      </c>
      <c r="L214" s="698"/>
      <c r="M214" s="698"/>
      <c r="N214" s="192" t="s">
        <v>1305</v>
      </c>
      <c r="O214" s="810">
        <f t="shared" si="81"/>
        <v>41013</v>
      </c>
      <c r="P214" s="810">
        <v>41016</v>
      </c>
      <c r="Q214" s="811" t="s">
        <v>972</v>
      </c>
      <c r="R214" s="304">
        <f>J214</f>
        <v>150</v>
      </c>
      <c r="S214" s="255">
        <v>15041.901109989909</v>
      </c>
      <c r="T214" s="8">
        <f t="shared" si="93"/>
        <v>2256285.1664984864</v>
      </c>
      <c r="U214" s="452"/>
      <c r="V214" s="812"/>
      <c r="W214" s="840"/>
      <c r="X214" s="840"/>
      <c r="Y214" s="8">
        <f t="shared" si="94"/>
        <v>0</v>
      </c>
    </row>
    <row r="215" spans="1:25">
      <c r="A215" s="835">
        <f t="shared" si="88"/>
        <v>17</v>
      </c>
      <c r="B215" s="297" t="s">
        <v>1211</v>
      </c>
      <c r="C215" s="864">
        <f t="shared" si="82"/>
        <v>2126670</v>
      </c>
      <c r="D215" s="797">
        <f t="shared" si="95"/>
        <v>47881.621156404035</v>
      </c>
      <c r="E215" s="797">
        <f t="shared" si="95"/>
        <v>15655.272800771978</v>
      </c>
      <c r="F215" s="797">
        <f t="shared" si="95"/>
        <v>29106.329708160549</v>
      </c>
      <c r="G215" s="797">
        <f t="shared" si="95"/>
        <v>21656.495318571837</v>
      </c>
      <c r="H215" s="797">
        <f t="shared" si="95"/>
        <v>0</v>
      </c>
      <c r="I215" s="836">
        <f t="shared" si="80"/>
        <v>2240970</v>
      </c>
      <c r="J215" s="797">
        <v>91</v>
      </c>
      <c r="K215" s="797">
        <f t="shared" si="92"/>
        <v>24626.043956043955</v>
      </c>
      <c r="L215" s="698"/>
      <c r="M215" s="698"/>
      <c r="N215" s="192" t="s">
        <v>1445</v>
      </c>
      <c r="O215" s="810">
        <f t="shared" si="81"/>
        <v>41013</v>
      </c>
      <c r="P215" s="810">
        <v>41016</v>
      </c>
      <c r="Q215" s="811" t="s">
        <v>972</v>
      </c>
      <c r="R215" s="304">
        <v>91</v>
      </c>
      <c r="S215" s="255">
        <v>23370</v>
      </c>
      <c r="T215" s="8">
        <f t="shared" si="93"/>
        <v>2126670</v>
      </c>
      <c r="U215" s="452"/>
      <c r="V215" s="812"/>
      <c r="W215" s="840"/>
      <c r="X215" s="840"/>
      <c r="Y215" s="8">
        <f t="shared" si="94"/>
        <v>0</v>
      </c>
    </row>
    <row r="216" spans="1:25">
      <c r="A216" s="835">
        <f t="shared" si="88"/>
        <v>18</v>
      </c>
      <c r="B216" s="297" t="s">
        <v>1210</v>
      </c>
      <c r="C216" s="864">
        <f t="shared" si="82"/>
        <v>530650</v>
      </c>
      <c r="D216" s="797">
        <f t="shared" si="95"/>
        <v>210468.664423754</v>
      </c>
      <c r="E216" s="797">
        <f t="shared" si="95"/>
        <v>68814.385937459243</v>
      </c>
      <c r="F216" s="797">
        <f t="shared" si="95"/>
        <v>127939.91080510132</v>
      </c>
      <c r="G216" s="797">
        <f t="shared" si="95"/>
        <v>95193.386015700395</v>
      </c>
      <c r="H216" s="797">
        <f t="shared" si="95"/>
        <v>0</v>
      </c>
      <c r="I216" s="836">
        <f t="shared" si="80"/>
        <v>1033066</v>
      </c>
      <c r="J216" s="797">
        <v>400</v>
      </c>
      <c r="K216" s="797">
        <f t="shared" si="92"/>
        <v>2582.665</v>
      </c>
      <c r="L216" s="698"/>
      <c r="M216" s="698"/>
      <c r="N216" s="192" t="s">
        <v>1407</v>
      </c>
      <c r="O216" s="810">
        <f t="shared" si="81"/>
        <v>41017</v>
      </c>
      <c r="P216" s="810">
        <v>41020</v>
      </c>
      <c r="Q216" s="811" t="s">
        <v>974</v>
      </c>
      <c r="R216" s="304">
        <v>50</v>
      </c>
      <c r="S216" s="255">
        <v>10613</v>
      </c>
      <c r="T216" s="8">
        <f t="shared" si="93"/>
        <v>530650</v>
      </c>
      <c r="U216" s="452"/>
      <c r="V216" s="812"/>
      <c r="W216" s="840"/>
      <c r="X216" s="840"/>
      <c r="Y216" s="8">
        <f t="shared" si="94"/>
        <v>0</v>
      </c>
    </row>
    <row r="217" spans="1:25">
      <c r="A217" s="835">
        <f t="shared" si="88"/>
        <v>19</v>
      </c>
      <c r="B217" s="297" t="s">
        <v>1209</v>
      </c>
      <c r="C217" s="864">
        <f t="shared" si="82"/>
        <v>2108160</v>
      </c>
      <c r="D217" s="797">
        <f t="shared" si="95"/>
        <v>441984.19528988336</v>
      </c>
      <c r="E217" s="797">
        <f t="shared" si="95"/>
        <v>144510.21046866442</v>
      </c>
      <c r="F217" s="797">
        <f t="shared" si="95"/>
        <v>268673.81269071274</v>
      </c>
      <c r="G217" s="797">
        <f t="shared" si="95"/>
        <v>199906.11063297081</v>
      </c>
      <c r="H217" s="797">
        <f t="shared" si="95"/>
        <v>0</v>
      </c>
      <c r="I217" s="836">
        <f t="shared" si="80"/>
        <v>3163234</v>
      </c>
      <c r="J217" s="797">
        <v>840</v>
      </c>
      <c r="K217" s="797">
        <f t="shared" si="92"/>
        <v>3765.7547619047618</v>
      </c>
      <c r="L217" s="698"/>
      <c r="M217" s="698"/>
      <c r="N217" s="192" t="s">
        <v>789</v>
      </c>
      <c r="O217" s="810">
        <f t="shared" si="81"/>
        <v>41020</v>
      </c>
      <c r="P217" s="810">
        <v>41023</v>
      </c>
      <c r="Q217" s="811" t="s">
        <v>975</v>
      </c>
      <c r="R217" s="304">
        <v>100</v>
      </c>
      <c r="S217" s="255">
        <v>21081.599999999999</v>
      </c>
      <c r="T217" s="8">
        <f t="shared" si="93"/>
        <v>2108160</v>
      </c>
      <c r="U217" s="452"/>
      <c r="V217" s="812"/>
      <c r="W217" s="840"/>
      <c r="X217" s="840"/>
      <c r="Y217" s="8">
        <f t="shared" si="94"/>
        <v>0</v>
      </c>
    </row>
    <row r="218" spans="1:25">
      <c r="A218" s="835">
        <f t="shared" si="88"/>
        <v>20</v>
      </c>
      <c r="B218" s="297" t="s">
        <v>977</v>
      </c>
      <c r="C218" s="864">
        <f t="shared" si="82"/>
        <v>4960750</v>
      </c>
      <c r="D218" s="797">
        <f t="shared" si="95"/>
        <v>490918.15976840619</v>
      </c>
      <c r="E218" s="797">
        <f t="shared" si="95"/>
        <v>160509.55519912369</v>
      </c>
      <c r="F218" s="797">
        <f t="shared" si="95"/>
        <v>298419.84195289883</v>
      </c>
      <c r="G218" s="797">
        <f t="shared" si="95"/>
        <v>222038.57288162116</v>
      </c>
      <c r="H218" s="797">
        <f t="shared" si="95"/>
        <v>0</v>
      </c>
      <c r="I218" s="836">
        <f t="shared" si="80"/>
        <v>6132636</v>
      </c>
      <c r="J218" s="797">
        <v>933</v>
      </c>
      <c r="K218" s="797">
        <f t="shared" si="92"/>
        <v>6573.028938906752</v>
      </c>
      <c r="L218" s="698"/>
      <c r="M218" s="698"/>
      <c r="N218" s="192" t="s">
        <v>1327</v>
      </c>
      <c r="O218" s="810">
        <f t="shared" si="81"/>
        <v>41020</v>
      </c>
      <c r="P218" s="810">
        <v>41023</v>
      </c>
      <c r="Q218" s="811" t="s">
        <v>975</v>
      </c>
      <c r="R218" s="304">
        <v>250</v>
      </c>
      <c r="S218" s="252">
        <v>19843</v>
      </c>
      <c r="T218" s="8">
        <f t="shared" si="93"/>
        <v>4960750</v>
      </c>
      <c r="U218" s="452"/>
      <c r="V218" s="812"/>
      <c r="W218" s="840"/>
      <c r="X218" s="840"/>
      <c r="Y218" s="8">
        <f t="shared" si="94"/>
        <v>0</v>
      </c>
    </row>
    <row r="219" spans="1:25">
      <c r="A219" s="835">
        <f t="shared" si="88"/>
        <v>21</v>
      </c>
      <c r="B219" s="297" t="s">
        <v>1208</v>
      </c>
      <c r="C219" s="864">
        <f t="shared" si="82"/>
        <v>2236100</v>
      </c>
      <c r="D219" s="797">
        <f t="shared" ref="D219:H228" si="96">IF($J$371&lt;&gt;0,D$371/$J$371*$J219,0)</f>
        <v>263085.83052969247</v>
      </c>
      <c r="E219" s="797">
        <f t="shared" si="96"/>
        <v>86017.982421824054</v>
      </c>
      <c r="F219" s="797">
        <f t="shared" si="96"/>
        <v>159924.88850637665</v>
      </c>
      <c r="G219" s="797">
        <f t="shared" si="96"/>
        <v>118991.73251962548</v>
      </c>
      <c r="H219" s="797">
        <f t="shared" si="96"/>
        <v>0</v>
      </c>
      <c r="I219" s="836">
        <f t="shared" si="80"/>
        <v>2864120</v>
      </c>
      <c r="J219" s="797">
        <v>500</v>
      </c>
      <c r="K219" s="797">
        <f t="shared" si="92"/>
        <v>5728.24</v>
      </c>
      <c r="L219" s="698"/>
      <c r="M219" s="698"/>
      <c r="N219" s="192" t="s">
        <v>1286</v>
      </c>
      <c r="O219" s="810">
        <f t="shared" si="81"/>
        <v>41020</v>
      </c>
      <c r="P219" s="810">
        <v>41023</v>
      </c>
      <c r="Q219" s="811" t="s">
        <v>978</v>
      </c>
      <c r="R219" s="862">
        <v>100</v>
      </c>
      <c r="S219" s="255">
        <v>22361</v>
      </c>
      <c r="T219" s="8">
        <f t="shared" si="93"/>
        <v>2236100</v>
      </c>
      <c r="U219" s="452"/>
      <c r="V219" s="812"/>
      <c r="W219" s="840"/>
      <c r="X219" s="840"/>
      <c r="Y219" s="8">
        <f t="shared" si="94"/>
        <v>0</v>
      </c>
    </row>
    <row r="220" spans="1:25">
      <c r="A220" s="835">
        <f t="shared" si="88"/>
        <v>22</v>
      </c>
      <c r="B220" s="297" t="s">
        <v>1069</v>
      </c>
      <c r="C220" s="864">
        <f t="shared" si="82"/>
        <v>880700</v>
      </c>
      <c r="D220" s="797">
        <f t="shared" si="96"/>
        <v>99972.615601283149</v>
      </c>
      <c r="E220" s="797">
        <f t="shared" si="96"/>
        <v>32686.833320293143</v>
      </c>
      <c r="F220" s="797">
        <f t="shared" si="96"/>
        <v>60771.457632423124</v>
      </c>
      <c r="G220" s="797">
        <f t="shared" si="96"/>
        <v>45216.858357457684</v>
      </c>
      <c r="H220" s="797">
        <f t="shared" si="96"/>
        <v>0</v>
      </c>
      <c r="I220" s="836">
        <f t="shared" si="80"/>
        <v>1119348</v>
      </c>
      <c r="J220" s="797">
        <v>190</v>
      </c>
      <c r="K220" s="797">
        <f t="shared" si="92"/>
        <v>5891.3052631578948</v>
      </c>
      <c r="L220" s="698"/>
      <c r="M220" s="698"/>
      <c r="N220" s="192" t="s">
        <v>1389</v>
      </c>
      <c r="O220" s="810">
        <f t="shared" si="81"/>
        <v>41022</v>
      </c>
      <c r="P220" s="810">
        <v>41025</v>
      </c>
      <c r="Q220" s="811" t="s">
        <v>979</v>
      </c>
      <c r="R220" s="304">
        <v>100</v>
      </c>
      <c r="S220" s="255">
        <v>8807</v>
      </c>
      <c r="T220" s="8">
        <f t="shared" si="93"/>
        <v>880700</v>
      </c>
      <c r="U220" s="452"/>
      <c r="V220" s="812"/>
      <c r="W220" s="840"/>
      <c r="X220" s="840"/>
      <c r="Y220" s="8">
        <f t="shared" si="94"/>
        <v>0</v>
      </c>
    </row>
    <row r="221" spans="1:25">
      <c r="A221" s="835">
        <f t="shared" si="88"/>
        <v>23</v>
      </c>
      <c r="B221" s="297" t="s">
        <v>1070</v>
      </c>
      <c r="C221" s="864">
        <f t="shared" si="82"/>
        <v>3787294</v>
      </c>
      <c r="D221" s="797">
        <f t="shared" si="96"/>
        <v>374634.22267428209</v>
      </c>
      <c r="E221" s="797">
        <f t="shared" si="96"/>
        <v>122489.60696867746</v>
      </c>
      <c r="F221" s="797">
        <f t="shared" si="96"/>
        <v>227733.04123308035</v>
      </c>
      <c r="G221" s="797">
        <f t="shared" si="96"/>
        <v>169444.2271079467</v>
      </c>
      <c r="H221" s="797">
        <f t="shared" si="96"/>
        <v>0</v>
      </c>
      <c r="I221" s="836">
        <f t="shared" si="80"/>
        <v>4681595</v>
      </c>
      <c r="J221" s="797">
        <v>712</v>
      </c>
      <c r="K221" s="797">
        <f t="shared" si="92"/>
        <v>6575.2738764044943</v>
      </c>
      <c r="L221" s="698"/>
      <c r="M221" s="698"/>
      <c r="N221" s="192" t="s">
        <v>1264</v>
      </c>
      <c r="O221" s="810">
        <f t="shared" si="81"/>
        <v>41022</v>
      </c>
      <c r="P221" s="810">
        <v>41025</v>
      </c>
      <c r="Q221" s="811" t="s">
        <v>979</v>
      </c>
      <c r="R221" s="304">
        <v>238</v>
      </c>
      <c r="S221" s="252">
        <v>15913</v>
      </c>
      <c r="T221" s="8">
        <f t="shared" si="93"/>
        <v>3787294</v>
      </c>
      <c r="U221" s="452"/>
      <c r="V221" s="812"/>
      <c r="W221" s="840"/>
      <c r="X221" s="840"/>
      <c r="Y221" s="8">
        <f t="shared" si="94"/>
        <v>0</v>
      </c>
    </row>
    <row r="222" spans="1:25">
      <c r="A222" s="835">
        <f t="shared" si="88"/>
        <v>24</v>
      </c>
      <c r="B222" s="297" t="s">
        <v>1478</v>
      </c>
      <c r="C222" s="864">
        <f t="shared" si="82"/>
        <v>3001200</v>
      </c>
      <c r="D222" s="797">
        <f t="shared" si="96"/>
        <v>39462.87457945387</v>
      </c>
      <c r="E222" s="797">
        <f t="shared" si="96"/>
        <v>12902.697363273608</v>
      </c>
      <c r="F222" s="797">
        <f t="shared" si="96"/>
        <v>23988.733275956496</v>
      </c>
      <c r="G222" s="797">
        <f t="shared" si="96"/>
        <v>17848.759877943823</v>
      </c>
      <c r="H222" s="797">
        <f t="shared" si="96"/>
        <v>0</v>
      </c>
      <c r="I222" s="836">
        <f t="shared" si="80"/>
        <v>3095403</v>
      </c>
      <c r="J222" s="797">
        <v>75</v>
      </c>
      <c r="K222" s="797">
        <f t="shared" si="92"/>
        <v>41272.04</v>
      </c>
      <c r="L222" s="698"/>
      <c r="M222" s="698"/>
      <c r="N222" s="192" t="s">
        <v>1302</v>
      </c>
      <c r="O222" s="810">
        <f t="shared" si="81"/>
        <v>41022</v>
      </c>
      <c r="P222" s="810">
        <v>41025</v>
      </c>
      <c r="Q222" s="811" t="s">
        <v>1566</v>
      </c>
      <c r="R222" s="304">
        <v>100</v>
      </c>
      <c r="S222" s="252">
        <v>30012</v>
      </c>
      <c r="T222" s="8">
        <f t="shared" si="93"/>
        <v>3001200</v>
      </c>
      <c r="U222" s="452"/>
      <c r="V222" s="812"/>
      <c r="W222" s="840"/>
      <c r="X222" s="840"/>
      <c r="Y222" s="8">
        <f t="shared" si="94"/>
        <v>0</v>
      </c>
    </row>
    <row r="223" spans="1:25">
      <c r="A223" s="835">
        <f t="shared" si="88"/>
        <v>25</v>
      </c>
      <c r="B223" s="297" t="s">
        <v>1479</v>
      </c>
      <c r="C223" s="864">
        <f t="shared" si="82"/>
        <v>3497440</v>
      </c>
      <c r="D223" s="797">
        <f t="shared" si="96"/>
        <v>78925.74915890774</v>
      </c>
      <c r="E223" s="797">
        <f t="shared" si="96"/>
        <v>25805.394726547216</v>
      </c>
      <c r="F223" s="797">
        <f t="shared" si="96"/>
        <v>47977.466551912992</v>
      </c>
      <c r="G223" s="797">
        <f t="shared" si="96"/>
        <v>35697.519755887646</v>
      </c>
      <c r="H223" s="797">
        <f t="shared" si="96"/>
        <v>0</v>
      </c>
      <c r="I223" s="836">
        <f t="shared" si="80"/>
        <v>3685846</v>
      </c>
      <c r="J223" s="797">
        <v>150</v>
      </c>
      <c r="K223" s="797">
        <f t="shared" si="92"/>
        <v>24572.306666666667</v>
      </c>
      <c r="L223" s="698"/>
      <c r="M223" s="698"/>
      <c r="N223" s="189" t="s">
        <v>1372</v>
      </c>
      <c r="O223" s="810">
        <f t="shared" si="81"/>
        <v>41022</v>
      </c>
      <c r="P223" s="810">
        <v>41025</v>
      </c>
      <c r="Q223" s="811" t="s">
        <v>1566</v>
      </c>
      <c r="R223" s="862">
        <v>160</v>
      </c>
      <c r="S223" s="255">
        <v>21859</v>
      </c>
      <c r="T223" s="8">
        <f t="shared" si="93"/>
        <v>3497440</v>
      </c>
      <c r="U223" s="452"/>
      <c r="V223" s="812"/>
      <c r="W223" s="840"/>
      <c r="X223" s="840"/>
      <c r="Y223" s="8">
        <f t="shared" si="94"/>
        <v>0</v>
      </c>
    </row>
    <row r="224" spans="1:25">
      <c r="A224" s="835">
        <f t="shared" si="88"/>
        <v>26</v>
      </c>
      <c r="B224" s="297" t="s">
        <v>1480</v>
      </c>
      <c r="C224" s="864">
        <f t="shared" si="82"/>
        <v>4099600</v>
      </c>
      <c r="D224" s="797">
        <f t="shared" si="96"/>
        <v>52617.166105938501</v>
      </c>
      <c r="E224" s="797">
        <f t="shared" si="96"/>
        <v>17203.596484364811</v>
      </c>
      <c r="F224" s="797">
        <f t="shared" si="96"/>
        <v>31984.977701275329</v>
      </c>
      <c r="G224" s="797">
        <f t="shared" si="96"/>
        <v>23798.346503925099</v>
      </c>
      <c r="H224" s="797">
        <f t="shared" si="96"/>
        <v>0</v>
      </c>
      <c r="I224" s="836">
        <f t="shared" si="80"/>
        <v>4225204</v>
      </c>
      <c r="J224" s="797">
        <v>100</v>
      </c>
      <c r="K224" s="797">
        <f t="shared" si="92"/>
        <v>42252.04</v>
      </c>
      <c r="L224" s="698"/>
      <c r="M224" s="698"/>
      <c r="N224" s="192" t="s">
        <v>1290</v>
      </c>
      <c r="O224" s="810">
        <f t="shared" si="81"/>
        <v>41022</v>
      </c>
      <c r="P224" s="810">
        <v>41025</v>
      </c>
      <c r="Q224" s="811" t="s">
        <v>1566</v>
      </c>
      <c r="R224" s="862">
        <v>100</v>
      </c>
      <c r="S224" s="255">
        <v>40996</v>
      </c>
      <c r="T224" s="8">
        <f t="shared" si="93"/>
        <v>4099600</v>
      </c>
      <c r="U224" s="452"/>
      <c r="V224" s="812"/>
      <c r="W224" s="840"/>
      <c r="X224" s="840"/>
      <c r="Y224" s="8">
        <f t="shared" si="94"/>
        <v>0</v>
      </c>
    </row>
    <row r="225" spans="1:25">
      <c r="A225" s="835">
        <f t="shared" si="88"/>
        <v>27</v>
      </c>
      <c r="B225" s="297" t="s">
        <v>1481</v>
      </c>
      <c r="C225" s="864">
        <f t="shared" si="82"/>
        <v>4677120</v>
      </c>
      <c r="D225" s="797">
        <f t="shared" si="96"/>
        <v>73664.032548313902</v>
      </c>
      <c r="E225" s="797">
        <f t="shared" si="96"/>
        <v>24085.035078110737</v>
      </c>
      <c r="F225" s="797">
        <f t="shared" si="96"/>
        <v>44778.968781785457</v>
      </c>
      <c r="G225" s="797">
        <f t="shared" si="96"/>
        <v>33317.685105495133</v>
      </c>
      <c r="H225" s="797">
        <f t="shared" si="96"/>
        <v>0</v>
      </c>
      <c r="I225" s="836">
        <f t="shared" si="80"/>
        <v>4852966</v>
      </c>
      <c r="J225" s="797">
        <v>140</v>
      </c>
      <c r="K225" s="797">
        <f t="shared" si="92"/>
        <v>34664.042857142857</v>
      </c>
      <c r="L225" s="698"/>
      <c r="M225" s="698"/>
      <c r="N225" s="192" t="s">
        <v>1311</v>
      </c>
      <c r="O225" s="810">
        <f t="shared" si="81"/>
        <v>41022</v>
      </c>
      <c r="P225" s="810">
        <v>41025</v>
      </c>
      <c r="Q225" s="811" t="s">
        <v>1566</v>
      </c>
      <c r="R225" s="862">
        <v>160</v>
      </c>
      <c r="S225" s="842">
        <v>29232</v>
      </c>
      <c r="T225" s="8">
        <f t="shared" si="93"/>
        <v>4677120</v>
      </c>
      <c r="U225" s="452"/>
      <c r="V225" s="812"/>
      <c r="W225" s="840"/>
      <c r="X225" s="840"/>
      <c r="Y225" s="8">
        <f t="shared" si="94"/>
        <v>0</v>
      </c>
    </row>
    <row r="226" spans="1:25">
      <c r="A226" s="835">
        <f t="shared" si="88"/>
        <v>28</v>
      </c>
      <c r="B226" s="297" t="s">
        <v>1482</v>
      </c>
      <c r="C226" s="864">
        <f>T226</f>
        <v>5300900</v>
      </c>
      <c r="D226" s="797">
        <f t="shared" si="96"/>
        <v>110496.04882247084</v>
      </c>
      <c r="E226" s="797">
        <f t="shared" si="96"/>
        <v>36127.552617166104</v>
      </c>
      <c r="F226" s="797">
        <f t="shared" si="96"/>
        <v>67168.453172678186</v>
      </c>
      <c r="G226" s="797">
        <f t="shared" si="96"/>
        <v>49976.527658242703</v>
      </c>
      <c r="H226" s="797">
        <f t="shared" si="96"/>
        <v>0</v>
      </c>
      <c r="I226" s="836">
        <f t="shared" si="80"/>
        <v>5564669</v>
      </c>
      <c r="J226" s="797">
        <v>210</v>
      </c>
      <c r="K226" s="797">
        <f t="shared" si="92"/>
        <v>26498.423809523811</v>
      </c>
      <c r="L226" s="698"/>
      <c r="M226" s="698"/>
      <c r="N226" s="192" t="s">
        <v>1280</v>
      </c>
      <c r="O226" s="810">
        <f t="shared" si="81"/>
        <v>41022</v>
      </c>
      <c r="P226" s="810">
        <v>41025</v>
      </c>
      <c r="Q226" s="811" t="s">
        <v>1566</v>
      </c>
      <c r="R226" s="304">
        <v>220</v>
      </c>
      <c r="S226" s="255">
        <v>24095</v>
      </c>
      <c r="T226" s="8">
        <f t="shared" si="93"/>
        <v>5300900</v>
      </c>
      <c r="U226" s="452"/>
      <c r="V226" s="812"/>
      <c r="W226" s="840"/>
      <c r="X226" s="840"/>
      <c r="Y226" s="8">
        <f t="shared" si="94"/>
        <v>0</v>
      </c>
    </row>
    <row r="227" spans="1:25">
      <c r="A227" s="835">
        <f t="shared" si="88"/>
        <v>29</v>
      </c>
      <c r="B227" s="297" t="s">
        <v>1483</v>
      </c>
      <c r="C227" s="864">
        <f>T227</f>
        <v>5644800</v>
      </c>
      <c r="D227" s="797">
        <f t="shared" si="96"/>
        <v>172584.30482747828</v>
      </c>
      <c r="E227" s="797">
        <f t="shared" si="96"/>
        <v>56427.79646871658</v>
      </c>
      <c r="F227" s="797">
        <f t="shared" si="96"/>
        <v>104910.72686018309</v>
      </c>
      <c r="G227" s="797">
        <f t="shared" si="96"/>
        <v>78058.576532874315</v>
      </c>
      <c r="H227" s="797">
        <f t="shared" si="96"/>
        <v>0</v>
      </c>
      <c r="I227" s="836">
        <f t="shared" si="80"/>
        <v>6056781</v>
      </c>
      <c r="J227" s="797">
        <v>328</v>
      </c>
      <c r="K227" s="797">
        <f t="shared" si="92"/>
        <v>18465.795731707316</v>
      </c>
      <c r="L227" s="698"/>
      <c r="M227" s="698"/>
      <c r="N227" s="192" t="s">
        <v>1452</v>
      </c>
      <c r="O227" s="810">
        <f t="shared" si="81"/>
        <v>41022</v>
      </c>
      <c r="P227" s="810">
        <v>41025</v>
      </c>
      <c r="Q227" s="811" t="s">
        <v>1566</v>
      </c>
      <c r="R227" s="304">
        <v>350</v>
      </c>
      <c r="S227" s="255">
        <v>16128</v>
      </c>
      <c r="T227" s="8">
        <f t="shared" si="93"/>
        <v>5644800</v>
      </c>
      <c r="U227" s="452"/>
      <c r="V227" s="812"/>
      <c r="W227" s="840"/>
      <c r="X227" s="840"/>
      <c r="Y227" s="8">
        <f t="shared" si="94"/>
        <v>0</v>
      </c>
    </row>
    <row r="228" spans="1:25">
      <c r="A228" s="835">
        <f t="shared" si="88"/>
        <v>30</v>
      </c>
      <c r="B228" s="297" t="s">
        <v>1111</v>
      </c>
      <c r="C228" s="864">
        <f>T228</f>
        <v>274050</v>
      </c>
      <c r="D228" s="797">
        <f t="shared" si="96"/>
        <v>263085.83052969247</v>
      </c>
      <c r="E228" s="797">
        <f t="shared" si="96"/>
        <v>86017.982421824054</v>
      </c>
      <c r="F228" s="797">
        <f t="shared" si="96"/>
        <v>159924.88850637665</v>
      </c>
      <c r="G228" s="797">
        <f t="shared" si="96"/>
        <v>118991.73251962548</v>
      </c>
      <c r="H228" s="797">
        <f t="shared" si="96"/>
        <v>0</v>
      </c>
      <c r="I228" s="836">
        <f t="shared" si="80"/>
        <v>902070</v>
      </c>
      <c r="J228" s="797">
        <v>500</v>
      </c>
      <c r="K228" s="797">
        <f t="shared" si="92"/>
        <v>1804.14</v>
      </c>
      <c r="L228" s="698"/>
      <c r="M228" s="698"/>
      <c r="N228" s="192" t="s">
        <v>767</v>
      </c>
      <c r="O228" s="810">
        <f t="shared" si="81"/>
        <v>41022</v>
      </c>
      <c r="P228" s="810">
        <v>41025</v>
      </c>
      <c r="Q228" s="811" t="s">
        <v>1566</v>
      </c>
      <c r="R228" s="862">
        <v>10</v>
      </c>
      <c r="S228" s="255">
        <v>27405</v>
      </c>
      <c r="T228" s="8">
        <f t="shared" si="93"/>
        <v>274050</v>
      </c>
      <c r="U228" s="452"/>
      <c r="V228" s="812"/>
      <c r="W228" s="840"/>
      <c r="X228" s="840"/>
      <c r="Y228" s="8">
        <f t="shared" si="94"/>
        <v>0</v>
      </c>
    </row>
    <row r="229" spans="1:25">
      <c r="A229" s="835">
        <f t="shared" si="88"/>
        <v>31</v>
      </c>
      <c r="B229" s="297" t="s">
        <v>1484</v>
      </c>
      <c r="C229" s="864">
        <f>T229</f>
        <v>4185000</v>
      </c>
      <c r="D229" s="797">
        <f t="shared" ref="D229:H238" si="97">IF($J$371&lt;&gt;0,D$371/$J$371*$J229,0)</f>
        <v>78925.74915890774</v>
      </c>
      <c r="E229" s="797">
        <f t="shared" si="97"/>
        <v>25805.394726547216</v>
      </c>
      <c r="F229" s="797">
        <f t="shared" si="97"/>
        <v>47977.466551912992</v>
      </c>
      <c r="G229" s="797">
        <f t="shared" si="97"/>
        <v>35697.519755887646</v>
      </c>
      <c r="H229" s="797">
        <f t="shared" si="97"/>
        <v>0</v>
      </c>
      <c r="I229" s="836">
        <f t="shared" si="80"/>
        <v>4373406</v>
      </c>
      <c r="J229" s="797">
        <v>150</v>
      </c>
      <c r="K229" s="797">
        <f t="shared" si="92"/>
        <v>29156.04</v>
      </c>
      <c r="L229" s="698"/>
      <c r="M229" s="698"/>
      <c r="N229" s="192" t="s">
        <v>1291</v>
      </c>
      <c r="O229" s="810">
        <f t="shared" si="81"/>
        <v>41022</v>
      </c>
      <c r="P229" s="810">
        <v>41025</v>
      </c>
      <c r="Q229" s="811" t="s">
        <v>1566</v>
      </c>
      <c r="R229" s="304">
        <v>150</v>
      </c>
      <c r="S229" s="252">
        <v>27900</v>
      </c>
      <c r="T229" s="8">
        <f t="shared" si="93"/>
        <v>4185000</v>
      </c>
      <c r="U229" s="452"/>
      <c r="V229" s="812"/>
      <c r="W229" s="840"/>
      <c r="X229" s="840"/>
      <c r="Y229" s="8">
        <f t="shared" si="94"/>
        <v>0</v>
      </c>
    </row>
    <row r="230" spans="1:25">
      <c r="A230" s="835">
        <f t="shared" si="88"/>
        <v>32</v>
      </c>
      <c r="B230" s="297" t="s">
        <v>1485</v>
      </c>
      <c r="C230" s="864">
        <f>T230</f>
        <v>592800</v>
      </c>
      <c r="D230" s="797">
        <f t="shared" si="97"/>
        <v>126281.1986542524</v>
      </c>
      <c r="E230" s="797">
        <f t="shared" si="97"/>
        <v>41288.631562475552</v>
      </c>
      <c r="F230" s="797">
        <f t="shared" si="97"/>
        <v>76763.94648306079</v>
      </c>
      <c r="G230" s="797">
        <f t="shared" si="97"/>
        <v>57116.031609420235</v>
      </c>
      <c r="H230" s="797">
        <f t="shared" si="97"/>
        <v>0</v>
      </c>
      <c r="I230" s="836">
        <f t="shared" si="80"/>
        <v>894250</v>
      </c>
      <c r="J230" s="797">
        <v>240</v>
      </c>
      <c r="K230" s="797">
        <f t="shared" si="92"/>
        <v>3726.0416666666665</v>
      </c>
      <c r="L230" s="848"/>
      <c r="M230" s="698"/>
      <c r="N230" s="192" t="s">
        <v>1404</v>
      </c>
      <c r="O230" s="810">
        <f t="shared" si="81"/>
        <v>41022</v>
      </c>
      <c r="P230" s="810">
        <v>41025</v>
      </c>
      <c r="Q230" s="811" t="s">
        <v>1566</v>
      </c>
      <c r="R230" s="862">
        <v>100</v>
      </c>
      <c r="S230" s="255">
        <v>5928</v>
      </c>
      <c r="T230" s="8">
        <f t="shared" si="93"/>
        <v>592800</v>
      </c>
      <c r="U230" s="452"/>
      <c r="V230" s="812"/>
      <c r="W230" s="840"/>
      <c r="X230" s="840"/>
      <c r="Y230" s="8">
        <f t="shared" si="94"/>
        <v>0</v>
      </c>
    </row>
    <row r="231" spans="1:25">
      <c r="A231" s="835">
        <f t="shared" si="88"/>
        <v>33</v>
      </c>
      <c r="B231" s="297" t="s">
        <v>1112</v>
      </c>
      <c r="C231" s="864">
        <f t="shared" ref="C231:C248" si="98">T231</f>
        <v>274050</v>
      </c>
      <c r="D231" s="797">
        <f t="shared" si="97"/>
        <v>2155199.1236992409</v>
      </c>
      <c r="E231" s="797">
        <f t="shared" si="97"/>
        <v>704659.31199958269</v>
      </c>
      <c r="F231" s="797">
        <f t="shared" si="97"/>
        <v>1310104.6866442375</v>
      </c>
      <c r="G231" s="797">
        <f t="shared" si="97"/>
        <v>974780.27280077199</v>
      </c>
      <c r="H231" s="797">
        <f t="shared" si="97"/>
        <v>0</v>
      </c>
      <c r="I231" s="836">
        <f t="shared" si="80"/>
        <v>5418793</v>
      </c>
      <c r="J231" s="797">
        <v>4096</v>
      </c>
      <c r="K231" s="797">
        <f t="shared" si="92"/>
        <v>1322.947509765625</v>
      </c>
      <c r="L231" s="698"/>
      <c r="M231" s="698"/>
      <c r="N231" s="192" t="s">
        <v>767</v>
      </c>
      <c r="O231" s="810">
        <f t="shared" si="81"/>
        <v>41022</v>
      </c>
      <c r="P231" s="810">
        <v>41025</v>
      </c>
      <c r="Q231" s="811" t="s">
        <v>1566</v>
      </c>
      <c r="R231" s="304">
        <v>10</v>
      </c>
      <c r="S231" s="255">
        <v>27405</v>
      </c>
      <c r="T231" s="8">
        <f t="shared" si="93"/>
        <v>274050</v>
      </c>
      <c r="U231" s="452"/>
      <c r="V231" s="812"/>
      <c r="W231" s="840"/>
      <c r="X231" s="840"/>
      <c r="Y231" s="8">
        <f t="shared" si="94"/>
        <v>0</v>
      </c>
    </row>
    <row r="232" spans="1:25">
      <c r="A232" s="835">
        <f>IF(B232&lt;&gt;"",A231+1,"")</f>
        <v>34</v>
      </c>
      <c r="B232" s="297" t="s">
        <v>1535</v>
      </c>
      <c r="C232" s="864">
        <f t="shared" si="98"/>
        <v>3593750</v>
      </c>
      <c r="D232" s="797">
        <f t="shared" si="97"/>
        <v>131542.91526484623</v>
      </c>
      <c r="E232" s="797">
        <f t="shared" si="97"/>
        <v>43008.991210912027</v>
      </c>
      <c r="F232" s="797">
        <f t="shared" si="97"/>
        <v>79962.444253188325</v>
      </c>
      <c r="G232" s="797">
        <f t="shared" si="97"/>
        <v>59495.866259812741</v>
      </c>
      <c r="H232" s="797">
        <f t="shared" si="97"/>
        <v>0</v>
      </c>
      <c r="I232" s="836">
        <f t="shared" si="80"/>
        <v>3907760</v>
      </c>
      <c r="J232" s="797">
        <v>250</v>
      </c>
      <c r="K232" s="797">
        <f t="shared" si="92"/>
        <v>15631.04</v>
      </c>
      <c r="L232" s="698"/>
      <c r="M232" s="698"/>
      <c r="N232" s="192" t="s">
        <v>1267</v>
      </c>
      <c r="O232" s="810">
        <f t="shared" si="81"/>
        <v>41022</v>
      </c>
      <c r="P232" s="810">
        <v>41025</v>
      </c>
      <c r="Q232" s="811" t="s">
        <v>1010</v>
      </c>
      <c r="R232" s="862">
        <v>250</v>
      </c>
      <c r="S232" s="255">
        <v>14375</v>
      </c>
      <c r="T232" s="8">
        <f t="shared" si="93"/>
        <v>3593750</v>
      </c>
      <c r="U232" s="452"/>
      <c r="V232" s="812"/>
      <c r="W232" s="840"/>
      <c r="X232" s="840"/>
      <c r="Y232" s="8">
        <f t="shared" si="94"/>
        <v>0</v>
      </c>
    </row>
    <row r="233" spans="1:25">
      <c r="A233" s="835">
        <f t="shared" si="88"/>
        <v>35</v>
      </c>
      <c r="B233" s="297" t="s">
        <v>1496</v>
      </c>
      <c r="C233" s="864">
        <f t="shared" si="98"/>
        <v>5062100</v>
      </c>
      <c r="D233" s="797">
        <f t="shared" si="97"/>
        <v>236777.24747672325</v>
      </c>
      <c r="E233" s="797">
        <f t="shared" si="97"/>
        <v>77416.184179641656</v>
      </c>
      <c r="F233" s="797">
        <f t="shared" si="97"/>
        <v>143932.39965573899</v>
      </c>
      <c r="G233" s="797">
        <f t="shared" si="97"/>
        <v>107092.55926766293</v>
      </c>
      <c r="H233" s="797">
        <f t="shared" si="97"/>
        <v>0</v>
      </c>
      <c r="I233" s="836">
        <f t="shared" si="80"/>
        <v>5627318</v>
      </c>
      <c r="J233" s="797">
        <v>450</v>
      </c>
      <c r="K233" s="797">
        <f t="shared" si="92"/>
        <v>12505.15111111111</v>
      </c>
      <c r="L233" s="698"/>
      <c r="M233" s="698"/>
      <c r="N233" s="192" t="s">
        <v>1283</v>
      </c>
      <c r="O233" s="810">
        <f t="shared" si="81"/>
        <v>41022</v>
      </c>
      <c r="P233" s="810">
        <v>41025</v>
      </c>
      <c r="Q233" s="811" t="s">
        <v>1010</v>
      </c>
      <c r="R233" s="304">
        <v>454</v>
      </c>
      <c r="S233" s="255">
        <v>11150</v>
      </c>
      <c r="T233" s="8">
        <f t="shared" si="93"/>
        <v>5062100</v>
      </c>
      <c r="U233" s="452"/>
      <c r="V233" s="812"/>
      <c r="W233" s="840"/>
      <c r="X233" s="840"/>
      <c r="Y233" s="8">
        <f t="shared" si="94"/>
        <v>0</v>
      </c>
    </row>
    <row r="234" spans="1:25">
      <c r="A234" s="835">
        <f t="shared" si="88"/>
        <v>36</v>
      </c>
      <c r="B234" s="297" t="s">
        <v>1510</v>
      </c>
      <c r="C234" s="864">
        <f t="shared" si="98"/>
        <v>4479840</v>
      </c>
      <c r="D234" s="797">
        <f t="shared" si="97"/>
        <v>173636.64814959705</v>
      </c>
      <c r="E234" s="797">
        <f t="shared" si="97"/>
        <v>56771.86839840388</v>
      </c>
      <c r="F234" s="797">
        <f t="shared" si="97"/>
        <v>105550.42641420859</v>
      </c>
      <c r="G234" s="797">
        <f t="shared" si="97"/>
        <v>78534.543462952817</v>
      </c>
      <c r="H234" s="797">
        <f t="shared" si="97"/>
        <v>0</v>
      </c>
      <c r="I234" s="836">
        <f t="shared" si="80"/>
        <v>4894333</v>
      </c>
      <c r="J234" s="797">
        <v>330</v>
      </c>
      <c r="K234" s="797">
        <f t="shared" si="92"/>
        <v>14831.31212121212</v>
      </c>
      <c r="L234" s="698"/>
      <c r="M234" s="698"/>
      <c r="N234" s="297" t="s">
        <v>1369</v>
      </c>
      <c r="O234" s="810">
        <f t="shared" si="81"/>
        <v>41022</v>
      </c>
      <c r="P234" s="810">
        <v>41025</v>
      </c>
      <c r="Q234" s="811" t="s">
        <v>1010</v>
      </c>
      <c r="R234" s="304">
        <v>340</v>
      </c>
      <c r="S234" s="252">
        <v>13176</v>
      </c>
      <c r="T234" s="8">
        <f t="shared" si="93"/>
        <v>4479840</v>
      </c>
      <c r="U234" s="452"/>
      <c r="V234" s="812"/>
      <c r="W234" s="840"/>
      <c r="X234" s="840"/>
      <c r="Y234" s="8">
        <f t="shared" si="94"/>
        <v>0</v>
      </c>
    </row>
    <row r="235" spans="1:25">
      <c r="A235" s="835">
        <f t="shared" si="88"/>
        <v>37</v>
      </c>
      <c r="B235" s="297" t="s">
        <v>1526</v>
      </c>
      <c r="C235" s="864">
        <f t="shared" si="98"/>
        <v>3196156</v>
      </c>
      <c r="D235" s="797">
        <f t="shared" si="97"/>
        <v>115757.76543306469</v>
      </c>
      <c r="E235" s="797">
        <f t="shared" si="97"/>
        <v>37847.912265602587</v>
      </c>
      <c r="F235" s="797">
        <f t="shared" si="97"/>
        <v>70366.950942805721</v>
      </c>
      <c r="G235" s="797">
        <f t="shared" si="97"/>
        <v>52356.362308635216</v>
      </c>
      <c r="H235" s="797">
        <f t="shared" si="97"/>
        <v>0</v>
      </c>
      <c r="I235" s="836">
        <f t="shared" si="80"/>
        <v>3472485</v>
      </c>
      <c r="J235" s="797">
        <v>220</v>
      </c>
      <c r="K235" s="797">
        <f t="shared" si="92"/>
        <v>15784.022727272728</v>
      </c>
      <c r="L235" s="698"/>
      <c r="M235" s="698"/>
      <c r="N235" s="192" t="s">
        <v>1391</v>
      </c>
      <c r="O235" s="810">
        <f t="shared" si="81"/>
        <v>41022</v>
      </c>
      <c r="P235" s="810">
        <v>41025</v>
      </c>
      <c r="Q235" s="811" t="s">
        <v>1010</v>
      </c>
      <c r="R235" s="304">
        <v>244</v>
      </c>
      <c r="S235" s="255">
        <v>13099</v>
      </c>
      <c r="T235" s="8">
        <f t="shared" si="93"/>
        <v>3196156</v>
      </c>
      <c r="U235" s="452"/>
      <c r="V235" s="812"/>
      <c r="W235" s="840"/>
      <c r="X235" s="840"/>
      <c r="Y235" s="8">
        <f t="shared" si="94"/>
        <v>0</v>
      </c>
    </row>
    <row r="236" spans="1:25">
      <c r="A236" s="835">
        <f t="shared" si="88"/>
        <v>38</v>
      </c>
      <c r="B236" s="297" t="s">
        <v>1538</v>
      </c>
      <c r="C236" s="864">
        <f t="shared" si="98"/>
        <v>8374000</v>
      </c>
      <c r="D236" s="797">
        <f t="shared" si="97"/>
        <v>255719.42727486111</v>
      </c>
      <c r="E236" s="797">
        <f t="shared" si="97"/>
        <v>83609.478914012987</v>
      </c>
      <c r="F236" s="797">
        <f t="shared" si="97"/>
        <v>155446.9916281981</v>
      </c>
      <c r="G236" s="797">
        <f t="shared" si="97"/>
        <v>115659.96400907598</v>
      </c>
      <c r="H236" s="797">
        <f t="shared" si="97"/>
        <v>0</v>
      </c>
      <c r="I236" s="836">
        <f t="shared" si="80"/>
        <v>8984436</v>
      </c>
      <c r="J236" s="797">
        <v>486</v>
      </c>
      <c r="K236" s="797">
        <f t="shared" si="92"/>
        <v>18486.493827160495</v>
      </c>
      <c r="L236" s="698"/>
      <c r="M236" s="698"/>
      <c r="N236" s="192" t="s">
        <v>1447</v>
      </c>
      <c r="O236" s="810">
        <f t="shared" si="81"/>
        <v>41022</v>
      </c>
      <c r="P236" s="810">
        <v>41025</v>
      </c>
      <c r="Q236" s="811" t="s">
        <v>1010</v>
      </c>
      <c r="R236" s="862">
        <v>500</v>
      </c>
      <c r="S236" s="252">
        <v>16748</v>
      </c>
      <c r="T236" s="8">
        <f t="shared" si="93"/>
        <v>8374000</v>
      </c>
      <c r="U236" s="452"/>
      <c r="V236" s="812"/>
      <c r="W236" s="840"/>
      <c r="X236" s="840"/>
      <c r="Y236" s="8">
        <f t="shared" si="94"/>
        <v>0</v>
      </c>
    </row>
    <row r="237" spans="1:25">
      <c r="A237" s="835">
        <f t="shared" si="88"/>
        <v>39</v>
      </c>
      <c r="B237" s="297" t="s">
        <v>1513</v>
      </c>
      <c r="C237" s="864">
        <f t="shared" si="98"/>
        <v>5757000</v>
      </c>
      <c r="D237" s="797">
        <f t="shared" si="97"/>
        <v>205733.11947421954</v>
      </c>
      <c r="E237" s="797">
        <f t="shared" si="97"/>
        <v>67266.062253866417</v>
      </c>
      <c r="F237" s="797">
        <f t="shared" si="97"/>
        <v>125061.26281198654</v>
      </c>
      <c r="G237" s="797">
        <f t="shared" si="97"/>
        <v>93051.534830347126</v>
      </c>
      <c r="H237" s="797">
        <f t="shared" si="97"/>
        <v>0</v>
      </c>
      <c r="I237" s="836">
        <f t="shared" si="80"/>
        <v>6248112</v>
      </c>
      <c r="J237" s="797">
        <v>391</v>
      </c>
      <c r="K237" s="797">
        <f t="shared" si="92"/>
        <v>15979.826086956522</v>
      </c>
      <c r="L237" s="698"/>
      <c r="M237" s="698"/>
      <c r="N237" s="192" t="s">
        <v>1329</v>
      </c>
      <c r="O237" s="810">
        <f t="shared" si="81"/>
        <v>41022</v>
      </c>
      <c r="P237" s="810">
        <v>41025</v>
      </c>
      <c r="Q237" s="811" t="s">
        <v>1010</v>
      </c>
      <c r="R237" s="304">
        <v>250</v>
      </c>
      <c r="S237" s="252">
        <v>23028</v>
      </c>
      <c r="T237" s="8">
        <f t="shared" si="93"/>
        <v>5757000</v>
      </c>
      <c r="U237" s="452"/>
      <c r="V237" s="812"/>
      <c r="W237" s="840"/>
      <c r="X237" s="840"/>
      <c r="Y237" s="8">
        <f t="shared" si="94"/>
        <v>0</v>
      </c>
    </row>
    <row r="238" spans="1:25">
      <c r="A238" s="835">
        <f t="shared" si="88"/>
        <v>40</v>
      </c>
      <c r="B238" s="297" t="s">
        <v>1532</v>
      </c>
      <c r="C238" s="864">
        <f t="shared" si="98"/>
        <v>8156130</v>
      </c>
      <c r="D238" s="797">
        <f t="shared" si="97"/>
        <v>178372.19309913152</v>
      </c>
      <c r="E238" s="797">
        <f t="shared" si="97"/>
        <v>58320.192081996713</v>
      </c>
      <c r="F238" s="797">
        <f t="shared" si="97"/>
        <v>108429.07440732337</v>
      </c>
      <c r="G238" s="797">
        <f t="shared" si="97"/>
        <v>80676.394648306086</v>
      </c>
      <c r="H238" s="797">
        <f t="shared" si="97"/>
        <v>0</v>
      </c>
      <c r="I238" s="836">
        <f t="shared" si="80"/>
        <v>8581928</v>
      </c>
      <c r="J238" s="797">
        <v>339</v>
      </c>
      <c r="K238" s="797">
        <f t="shared" si="92"/>
        <v>25315.421828908555</v>
      </c>
      <c r="L238" s="698"/>
      <c r="M238" s="698"/>
      <c r="N238" s="192" t="s">
        <v>1445</v>
      </c>
      <c r="O238" s="810">
        <f t="shared" si="81"/>
        <v>41022</v>
      </c>
      <c r="P238" s="810">
        <v>41025</v>
      </c>
      <c r="Q238" s="811" t="s">
        <v>1010</v>
      </c>
      <c r="R238" s="8">
        <v>349</v>
      </c>
      <c r="S238" s="293">
        <v>23370</v>
      </c>
      <c r="T238" s="8">
        <f t="shared" si="93"/>
        <v>8156130</v>
      </c>
      <c r="U238" s="452"/>
      <c r="V238" s="812"/>
      <c r="W238" s="840"/>
      <c r="X238" s="840"/>
      <c r="Y238" s="8">
        <f t="shared" si="94"/>
        <v>0</v>
      </c>
    </row>
    <row r="239" spans="1:25">
      <c r="A239" s="835">
        <f t="shared" si="88"/>
        <v>41</v>
      </c>
      <c r="B239" s="297" t="s">
        <v>1516</v>
      </c>
      <c r="C239" s="864">
        <f t="shared" si="98"/>
        <v>6486252</v>
      </c>
      <c r="D239" s="797">
        <f t="shared" ref="D239:H248" si="99">IF($J$371&lt;&gt;0,D$371/$J$371*$J239,0)</f>
        <v>192578.82794773491</v>
      </c>
      <c r="E239" s="797">
        <f t="shared" si="99"/>
        <v>62965.163132775211</v>
      </c>
      <c r="F239" s="797">
        <f t="shared" si="99"/>
        <v>117065.01838666771</v>
      </c>
      <c r="G239" s="797">
        <f t="shared" si="99"/>
        <v>87101.94820436585</v>
      </c>
      <c r="H239" s="797">
        <f t="shared" si="99"/>
        <v>0</v>
      </c>
      <c r="I239" s="836">
        <f t="shared" si="80"/>
        <v>6945963</v>
      </c>
      <c r="J239" s="797">
        <v>366</v>
      </c>
      <c r="K239" s="797">
        <f t="shared" si="92"/>
        <v>18978.040983606559</v>
      </c>
      <c r="L239" s="698"/>
      <c r="M239" s="698"/>
      <c r="N239" s="192" t="s">
        <v>1413</v>
      </c>
      <c r="O239" s="810">
        <f t="shared" si="81"/>
        <v>41022</v>
      </c>
      <c r="P239" s="810">
        <v>41025</v>
      </c>
      <c r="Q239" s="811" t="s">
        <v>1010</v>
      </c>
      <c r="R239" s="304">
        <f>J239</f>
        <v>366</v>
      </c>
      <c r="S239" s="842">
        <v>17722</v>
      </c>
      <c r="T239" s="8">
        <f t="shared" si="93"/>
        <v>6486252</v>
      </c>
      <c r="U239" s="452"/>
      <c r="V239" s="812"/>
      <c r="W239" s="840"/>
      <c r="X239" s="840"/>
      <c r="Y239" s="8">
        <f t="shared" si="94"/>
        <v>0</v>
      </c>
    </row>
    <row r="240" spans="1:25">
      <c r="A240" s="835">
        <f t="shared" si="88"/>
        <v>42</v>
      </c>
      <c r="B240" s="297" t="s">
        <v>1523</v>
      </c>
      <c r="C240" s="864">
        <f t="shared" si="98"/>
        <v>3030181</v>
      </c>
      <c r="D240" s="797">
        <f t="shared" si="99"/>
        <v>139435.49018073702</v>
      </c>
      <c r="E240" s="797">
        <f t="shared" si="99"/>
        <v>45589.530683566751</v>
      </c>
      <c r="F240" s="797">
        <f t="shared" si="99"/>
        <v>84760.19090837962</v>
      </c>
      <c r="G240" s="797">
        <f t="shared" si="99"/>
        <v>63065.618235401511</v>
      </c>
      <c r="H240" s="797">
        <f t="shared" si="99"/>
        <v>0</v>
      </c>
      <c r="I240" s="836">
        <f t="shared" si="80"/>
        <v>3363032</v>
      </c>
      <c r="J240" s="797">
        <v>265</v>
      </c>
      <c r="K240" s="797">
        <f t="shared" si="92"/>
        <v>12690.686792452831</v>
      </c>
      <c r="L240" s="698"/>
      <c r="M240" s="698"/>
      <c r="N240" s="192" t="s">
        <v>791</v>
      </c>
      <c r="O240" s="810">
        <f t="shared" si="81"/>
        <v>41022</v>
      </c>
      <c r="P240" s="810">
        <v>41025</v>
      </c>
      <c r="Q240" s="811" t="s">
        <v>1010</v>
      </c>
      <c r="R240" s="304">
        <v>290</v>
      </c>
      <c r="S240" s="255">
        <v>10448.9</v>
      </c>
      <c r="T240" s="8">
        <f t="shared" si="93"/>
        <v>3030181</v>
      </c>
      <c r="U240" s="452"/>
      <c r="V240" s="812"/>
      <c r="W240" s="840"/>
      <c r="X240" s="840"/>
      <c r="Y240" s="8">
        <f t="shared" si="94"/>
        <v>0</v>
      </c>
    </row>
    <row r="241" spans="1:25">
      <c r="A241" s="835">
        <f t="shared" si="88"/>
        <v>43</v>
      </c>
      <c r="B241" s="297" t="s">
        <v>1524</v>
      </c>
      <c r="C241" s="864">
        <f t="shared" si="98"/>
        <v>9271144.6555639673</v>
      </c>
      <c r="D241" s="797">
        <f t="shared" si="99"/>
        <v>242038.96408731709</v>
      </c>
      <c r="E241" s="797">
        <f t="shared" si="99"/>
        <v>79136.543828078138</v>
      </c>
      <c r="F241" s="797">
        <f t="shared" si="99"/>
        <v>147130.89742586651</v>
      </c>
      <c r="G241" s="797">
        <f t="shared" si="99"/>
        <v>109472.39391805544</v>
      </c>
      <c r="H241" s="797">
        <f t="shared" si="99"/>
        <v>0</v>
      </c>
      <c r="I241" s="836">
        <f t="shared" si="80"/>
        <v>9848923</v>
      </c>
      <c r="J241" s="797">
        <v>460</v>
      </c>
      <c r="K241" s="797">
        <f t="shared" si="92"/>
        <v>21410.702173913043</v>
      </c>
      <c r="L241" s="698"/>
      <c r="M241" s="698"/>
      <c r="N241" s="189" t="s">
        <v>1371</v>
      </c>
      <c r="O241" s="810">
        <f t="shared" si="81"/>
        <v>41022</v>
      </c>
      <c r="P241" s="810">
        <v>41025</v>
      </c>
      <c r="Q241" s="811" t="s">
        <v>1010</v>
      </c>
      <c r="R241" s="304">
        <v>465</v>
      </c>
      <c r="S241" s="255">
        <v>19937.945495836488</v>
      </c>
      <c r="T241" s="8">
        <f t="shared" si="93"/>
        <v>9271144.6555639673</v>
      </c>
      <c r="U241" s="452"/>
      <c r="V241" s="812"/>
      <c r="W241" s="840"/>
      <c r="X241" s="840"/>
      <c r="Y241" s="8">
        <f t="shared" si="94"/>
        <v>0</v>
      </c>
    </row>
    <row r="242" spans="1:25">
      <c r="A242" s="835">
        <f t="shared" si="88"/>
        <v>44</v>
      </c>
      <c r="B242" s="297" t="s">
        <v>1546</v>
      </c>
      <c r="C242" s="864">
        <f t="shared" si="98"/>
        <v>4668250</v>
      </c>
      <c r="D242" s="797">
        <f t="shared" si="99"/>
        <v>131542.91526484623</v>
      </c>
      <c r="E242" s="797">
        <f t="shared" si="99"/>
        <v>43008.991210912027</v>
      </c>
      <c r="F242" s="797">
        <f t="shared" si="99"/>
        <v>79962.444253188325</v>
      </c>
      <c r="G242" s="797">
        <f t="shared" si="99"/>
        <v>59495.866259812741</v>
      </c>
      <c r="H242" s="797">
        <f t="shared" si="99"/>
        <v>0</v>
      </c>
      <c r="I242" s="836">
        <f t="shared" si="80"/>
        <v>4982260</v>
      </c>
      <c r="J242" s="797">
        <v>250</v>
      </c>
      <c r="K242" s="797">
        <f t="shared" si="92"/>
        <v>19929.04</v>
      </c>
      <c r="L242" s="698"/>
      <c r="M242" s="698"/>
      <c r="N242" s="192" t="s">
        <v>1330</v>
      </c>
      <c r="O242" s="810">
        <f t="shared" si="81"/>
        <v>41025</v>
      </c>
      <c r="P242" s="810">
        <v>41028</v>
      </c>
      <c r="Q242" s="811" t="s">
        <v>1568</v>
      </c>
      <c r="R242" s="304">
        <v>250</v>
      </c>
      <c r="S242" s="255">
        <v>18673</v>
      </c>
      <c r="T242" s="8">
        <f t="shared" si="93"/>
        <v>4668250</v>
      </c>
      <c r="U242" s="452"/>
      <c r="V242" s="812"/>
      <c r="W242" s="840"/>
      <c r="X242" s="840"/>
      <c r="Y242" s="8">
        <f t="shared" si="94"/>
        <v>0</v>
      </c>
    </row>
    <row r="243" spans="1:25">
      <c r="A243" s="835">
        <f t="shared" si="88"/>
        <v>45</v>
      </c>
      <c r="B243" s="297" t="s">
        <v>1515</v>
      </c>
      <c r="C243" s="864">
        <f t="shared" si="98"/>
        <v>4286100</v>
      </c>
      <c r="D243" s="797">
        <f t="shared" si="99"/>
        <v>236777.24747672325</v>
      </c>
      <c r="E243" s="797">
        <f t="shared" si="99"/>
        <v>77416.184179641656</v>
      </c>
      <c r="F243" s="797">
        <f t="shared" si="99"/>
        <v>143932.39965573899</v>
      </c>
      <c r="G243" s="797">
        <f t="shared" si="99"/>
        <v>107092.55926766293</v>
      </c>
      <c r="H243" s="797">
        <f t="shared" si="99"/>
        <v>0</v>
      </c>
      <c r="I243" s="836">
        <f t="shared" si="80"/>
        <v>4851318</v>
      </c>
      <c r="J243" s="797">
        <v>450</v>
      </c>
      <c r="K243" s="797">
        <f t="shared" si="92"/>
        <v>10780.706666666667</v>
      </c>
      <c r="L243" s="698"/>
      <c r="M243" s="698"/>
      <c r="N243" s="192" t="s">
        <v>736</v>
      </c>
      <c r="O243" s="810">
        <f t="shared" si="81"/>
        <v>41025</v>
      </c>
      <c r="P243" s="810">
        <v>41028</v>
      </c>
      <c r="Q243" s="811" t="s">
        <v>1568</v>
      </c>
      <c r="R243" s="304">
        <v>455</v>
      </c>
      <c r="S243" s="255">
        <v>9420</v>
      </c>
      <c r="T243" s="8">
        <f t="shared" si="93"/>
        <v>4286100</v>
      </c>
      <c r="U243" s="452"/>
      <c r="V243" s="812"/>
      <c r="W243" s="840"/>
      <c r="X243" s="840"/>
      <c r="Y243" s="8">
        <f t="shared" si="94"/>
        <v>0</v>
      </c>
    </row>
    <row r="244" spans="1:25">
      <c r="A244" s="835">
        <f t="shared" si="88"/>
        <v>46</v>
      </c>
      <c r="B244" s="297" t="s">
        <v>1540</v>
      </c>
      <c r="C244" s="864">
        <f t="shared" si="98"/>
        <v>1742700</v>
      </c>
      <c r="D244" s="797">
        <f t="shared" si="99"/>
        <v>94710.898990689297</v>
      </c>
      <c r="E244" s="797">
        <f t="shared" si="99"/>
        <v>30966.47367185666</v>
      </c>
      <c r="F244" s="797">
        <f t="shared" si="99"/>
        <v>57572.959862295596</v>
      </c>
      <c r="G244" s="797">
        <f t="shared" si="99"/>
        <v>42837.023707065178</v>
      </c>
      <c r="H244" s="797">
        <f t="shared" si="99"/>
        <v>0</v>
      </c>
      <c r="I244" s="836">
        <f t="shared" si="80"/>
        <v>1968787</v>
      </c>
      <c r="J244" s="797">
        <v>180</v>
      </c>
      <c r="K244" s="797">
        <f t="shared" si="92"/>
        <v>10937.705555555556</v>
      </c>
      <c r="L244" s="698"/>
      <c r="M244" s="698"/>
      <c r="N244" s="192" t="s">
        <v>736</v>
      </c>
      <c r="O244" s="810">
        <f t="shared" si="81"/>
        <v>41025</v>
      </c>
      <c r="P244" s="810">
        <v>41028</v>
      </c>
      <c r="Q244" s="811" t="s">
        <v>1568</v>
      </c>
      <c r="R244" s="304">
        <v>185</v>
      </c>
      <c r="S244" s="255">
        <v>9420</v>
      </c>
      <c r="T244" s="8">
        <f t="shared" si="93"/>
        <v>1742700</v>
      </c>
      <c r="U244" s="452"/>
      <c r="V244" s="812"/>
      <c r="W244" s="840"/>
      <c r="X244" s="840"/>
      <c r="Y244" s="8">
        <f t="shared" si="94"/>
        <v>0</v>
      </c>
    </row>
    <row r="245" spans="1:25">
      <c r="A245" s="835">
        <f t="shared" si="88"/>
        <v>47</v>
      </c>
      <c r="B245" s="297" t="s">
        <v>1515</v>
      </c>
      <c r="C245" s="864">
        <f t="shared" si="98"/>
        <v>9471225</v>
      </c>
      <c r="D245" s="797">
        <f t="shared" si="99"/>
        <v>462504.89007119939</v>
      </c>
      <c r="E245" s="797">
        <f t="shared" si="99"/>
        <v>151219.6130975667</v>
      </c>
      <c r="F245" s="797">
        <f t="shared" si="99"/>
        <v>281147.95399421017</v>
      </c>
      <c r="G245" s="797">
        <f t="shared" si="99"/>
        <v>209187.46576950161</v>
      </c>
      <c r="H245" s="797">
        <f t="shared" si="99"/>
        <v>0</v>
      </c>
      <c r="I245" s="836">
        <f t="shared" si="80"/>
        <v>10575285</v>
      </c>
      <c r="J245" s="797">
        <v>879</v>
      </c>
      <c r="K245" s="797">
        <f t="shared" si="92"/>
        <v>12031.040955631399</v>
      </c>
      <c r="L245" s="698"/>
      <c r="M245" s="698"/>
      <c r="N245" s="192" t="s">
        <v>1299</v>
      </c>
      <c r="O245" s="810">
        <f t="shared" si="81"/>
        <v>41025</v>
      </c>
      <c r="P245" s="810">
        <v>41028</v>
      </c>
      <c r="Q245" s="811" t="s">
        <v>1568</v>
      </c>
      <c r="R245" s="304">
        <f t="shared" ref="R245:R246" si="100">J245</f>
        <v>879</v>
      </c>
      <c r="S245" s="255">
        <v>10775</v>
      </c>
      <c r="T245" s="8">
        <f t="shared" si="93"/>
        <v>9471225</v>
      </c>
      <c r="U245" s="452"/>
      <c r="V245" s="812"/>
      <c r="W245" s="840"/>
      <c r="X245" s="840"/>
      <c r="Y245" s="8">
        <f t="shared" si="94"/>
        <v>0</v>
      </c>
    </row>
    <row r="246" spans="1:25">
      <c r="A246" s="835">
        <f t="shared" si="88"/>
        <v>48</v>
      </c>
      <c r="B246" s="297" t="s">
        <v>1542</v>
      </c>
      <c r="C246" s="864">
        <f t="shared" si="98"/>
        <v>5452150</v>
      </c>
      <c r="D246" s="797">
        <f t="shared" si="99"/>
        <v>266242.86049604882</v>
      </c>
      <c r="E246" s="797">
        <f t="shared" si="99"/>
        <v>87050.198210885952</v>
      </c>
      <c r="F246" s="797">
        <f t="shared" si="99"/>
        <v>161843.98716845317</v>
      </c>
      <c r="G246" s="797">
        <f t="shared" si="99"/>
        <v>120419.63330986099</v>
      </c>
      <c r="H246" s="797">
        <f t="shared" si="99"/>
        <v>0</v>
      </c>
      <c r="I246" s="836">
        <f t="shared" si="80"/>
        <v>6087707</v>
      </c>
      <c r="J246" s="797">
        <v>506</v>
      </c>
      <c r="K246" s="797">
        <f t="shared" si="92"/>
        <v>12031.041501976284</v>
      </c>
      <c r="L246" s="698"/>
      <c r="M246" s="698"/>
      <c r="N246" s="192" t="s">
        <v>1299</v>
      </c>
      <c r="O246" s="810">
        <f t="shared" si="81"/>
        <v>41025</v>
      </c>
      <c r="P246" s="810">
        <v>41028</v>
      </c>
      <c r="Q246" s="811" t="s">
        <v>1568</v>
      </c>
      <c r="R246" s="304">
        <f t="shared" si="100"/>
        <v>506</v>
      </c>
      <c r="S246" s="255">
        <v>10775</v>
      </c>
      <c r="T246" s="8">
        <f t="shared" si="93"/>
        <v>5452150</v>
      </c>
      <c r="U246" s="452"/>
      <c r="V246" s="812"/>
      <c r="W246" s="840"/>
      <c r="X246" s="840"/>
      <c r="Y246" s="8">
        <f t="shared" si="94"/>
        <v>0</v>
      </c>
    </row>
    <row r="247" spans="1:25">
      <c r="A247" s="835">
        <f t="shared" si="88"/>
        <v>49</v>
      </c>
      <c r="B247" s="297" t="s">
        <v>1543</v>
      </c>
      <c r="C247" s="864">
        <f t="shared" si="98"/>
        <v>9133258.2698412687</v>
      </c>
      <c r="D247" s="797">
        <f t="shared" si="99"/>
        <v>417254.12722009228</v>
      </c>
      <c r="E247" s="797">
        <f t="shared" si="99"/>
        <v>136424.52012101296</v>
      </c>
      <c r="F247" s="797">
        <f t="shared" si="99"/>
        <v>253640.87317111337</v>
      </c>
      <c r="G247" s="797">
        <f t="shared" si="99"/>
        <v>188720.88777612601</v>
      </c>
      <c r="H247" s="797">
        <f t="shared" si="99"/>
        <v>0</v>
      </c>
      <c r="I247" s="836">
        <f t="shared" si="80"/>
        <v>10129299</v>
      </c>
      <c r="J247" s="797">
        <v>793</v>
      </c>
      <c r="K247" s="797">
        <f t="shared" si="92"/>
        <v>12773.390920554855</v>
      </c>
      <c r="L247" s="698"/>
      <c r="M247" s="698"/>
      <c r="N247" s="297" t="s">
        <v>1368</v>
      </c>
      <c r="O247" s="810">
        <f t="shared" si="81"/>
        <v>41025</v>
      </c>
      <c r="P247" s="810">
        <v>41028</v>
      </c>
      <c r="Q247" s="811" t="s">
        <v>1568</v>
      </c>
      <c r="R247" s="304">
        <v>803</v>
      </c>
      <c r="S247" s="255">
        <v>11373.920634920634</v>
      </c>
      <c r="T247" s="8">
        <f t="shared" si="93"/>
        <v>9133258.2698412687</v>
      </c>
      <c r="U247" s="452"/>
      <c r="V247" s="812"/>
      <c r="W247" s="840"/>
      <c r="X247" s="840"/>
      <c r="Y247" s="8">
        <f t="shared" si="94"/>
        <v>0</v>
      </c>
    </row>
    <row r="248" spans="1:25">
      <c r="A248" s="835">
        <f t="shared" si="88"/>
        <v>50</v>
      </c>
      <c r="B248" s="297" t="s">
        <v>1544</v>
      </c>
      <c r="C248" s="864">
        <f t="shared" si="98"/>
        <v>12936034.954591321</v>
      </c>
      <c r="D248" s="797">
        <f t="shared" si="99"/>
        <v>452507.62851107109</v>
      </c>
      <c r="E248" s="797">
        <f t="shared" si="99"/>
        <v>147950.92976553738</v>
      </c>
      <c r="F248" s="797">
        <f t="shared" si="99"/>
        <v>275070.80823096784</v>
      </c>
      <c r="G248" s="797">
        <f t="shared" si="99"/>
        <v>204665.77993375584</v>
      </c>
      <c r="H248" s="797">
        <f t="shared" si="99"/>
        <v>0</v>
      </c>
      <c r="I248" s="836">
        <f t="shared" si="80"/>
        <v>14016230</v>
      </c>
      <c r="J248" s="797">
        <v>860</v>
      </c>
      <c r="K248" s="797">
        <f t="shared" si="92"/>
        <v>16297.941860465116</v>
      </c>
      <c r="L248" s="698"/>
      <c r="M248" s="698"/>
      <c r="N248" s="192" t="s">
        <v>1305</v>
      </c>
      <c r="O248" s="810">
        <f t="shared" si="81"/>
        <v>41025</v>
      </c>
      <c r="P248" s="810">
        <v>41028</v>
      </c>
      <c r="Q248" s="811" t="s">
        <v>1568</v>
      </c>
      <c r="R248" s="304">
        <f>J248</f>
        <v>860</v>
      </c>
      <c r="S248" s="255">
        <v>15041.901109989909</v>
      </c>
      <c r="T248" s="8">
        <f t="shared" si="93"/>
        <v>12936034.954591321</v>
      </c>
      <c r="U248" s="452"/>
      <c r="V248" s="812"/>
      <c r="W248" s="840"/>
      <c r="X248" s="840"/>
      <c r="Y248" s="8">
        <f t="shared" si="94"/>
        <v>0</v>
      </c>
    </row>
    <row r="249" spans="1:25">
      <c r="A249" s="835">
        <f t="shared" si="88"/>
        <v>51</v>
      </c>
      <c r="B249" s="297" t="s">
        <v>1545</v>
      </c>
      <c r="C249" s="864">
        <f t="shared" ref="C249:C267" si="101">T249</f>
        <v>3693144</v>
      </c>
      <c r="D249" s="797">
        <f t="shared" ref="D249:H258" si="102">IF($J$371&lt;&gt;0,D$371/$J$371*$J249,0)</f>
        <v>187317.11133714105</v>
      </c>
      <c r="E249" s="797">
        <f t="shared" si="102"/>
        <v>61244.803484338729</v>
      </c>
      <c r="F249" s="797">
        <f t="shared" si="102"/>
        <v>113866.52061654018</v>
      </c>
      <c r="G249" s="797">
        <f t="shared" si="102"/>
        <v>84722.113553973351</v>
      </c>
      <c r="H249" s="797">
        <f t="shared" si="102"/>
        <v>0</v>
      </c>
      <c r="I249" s="836">
        <f t="shared" ref="I249:I290" si="103">ROUND(SUM(C249:H249),0)</f>
        <v>4140295</v>
      </c>
      <c r="J249" s="797">
        <v>356</v>
      </c>
      <c r="K249" s="797">
        <f t="shared" ref="K249:K290" si="104">IF(J249&lt;&gt;"",I249/J249,"")</f>
        <v>11630.042134831461</v>
      </c>
      <c r="L249" s="698"/>
      <c r="M249" s="698"/>
      <c r="N249" s="192" t="s">
        <v>1448</v>
      </c>
      <c r="O249" s="810">
        <f t="shared" si="81"/>
        <v>41025</v>
      </c>
      <c r="P249" s="810">
        <v>41028</v>
      </c>
      <c r="Q249" s="811" t="s">
        <v>1568</v>
      </c>
      <c r="R249" s="304">
        <f>J249</f>
        <v>356</v>
      </c>
      <c r="S249" s="255">
        <v>10374</v>
      </c>
      <c r="T249" s="8">
        <f t="shared" ref="T249:T290" si="105">R249*S249</f>
        <v>3693144</v>
      </c>
      <c r="U249" s="452"/>
      <c r="V249" s="812"/>
      <c r="W249" s="840"/>
      <c r="X249" s="840"/>
      <c r="Y249" s="8">
        <f t="shared" ref="Y249:Y290" si="106">W249*X249</f>
        <v>0</v>
      </c>
    </row>
    <row r="250" spans="1:25">
      <c r="A250" s="835">
        <f t="shared" si="88"/>
        <v>52</v>
      </c>
      <c r="B250" s="297" t="s">
        <v>1542</v>
      </c>
      <c r="C250" s="864">
        <f t="shared" si="101"/>
        <v>3771250</v>
      </c>
      <c r="D250" s="797">
        <f t="shared" si="102"/>
        <v>184160.08137078473</v>
      </c>
      <c r="E250" s="797">
        <f t="shared" si="102"/>
        <v>60212.587695276838</v>
      </c>
      <c r="F250" s="797">
        <f t="shared" si="102"/>
        <v>111947.42195446366</v>
      </c>
      <c r="G250" s="797">
        <f t="shared" si="102"/>
        <v>83294.212763737843</v>
      </c>
      <c r="H250" s="797">
        <f t="shared" si="102"/>
        <v>0</v>
      </c>
      <c r="I250" s="836">
        <f t="shared" si="103"/>
        <v>4210864</v>
      </c>
      <c r="J250" s="797">
        <v>350</v>
      </c>
      <c r="K250" s="797">
        <f t="shared" si="104"/>
        <v>12031.04</v>
      </c>
      <c r="L250" s="698"/>
      <c r="M250" s="698"/>
      <c r="N250" s="192" t="s">
        <v>1299</v>
      </c>
      <c r="O250" s="810">
        <f t="shared" si="81"/>
        <v>41025</v>
      </c>
      <c r="P250" s="810">
        <v>41028</v>
      </c>
      <c r="Q250" s="811" t="s">
        <v>1568</v>
      </c>
      <c r="R250" s="304">
        <f>J250</f>
        <v>350</v>
      </c>
      <c r="S250" s="255">
        <v>10775</v>
      </c>
      <c r="T250" s="8">
        <f t="shared" si="105"/>
        <v>3771250</v>
      </c>
      <c r="U250" s="452"/>
      <c r="V250" s="812"/>
      <c r="W250" s="840"/>
      <c r="X250" s="840"/>
      <c r="Y250" s="8">
        <f t="shared" si="106"/>
        <v>0</v>
      </c>
    </row>
    <row r="251" spans="1:25">
      <c r="A251" s="835">
        <f t="shared" si="88"/>
        <v>53</v>
      </c>
      <c r="B251" s="297" t="s">
        <v>1543</v>
      </c>
      <c r="C251" s="864">
        <f t="shared" si="101"/>
        <v>5197881.7301587295</v>
      </c>
      <c r="D251" s="797">
        <f t="shared" si="102"/>
        <v>237829.59079884202</v>
      </c>
      <c r="E251" s="797">
        <f t="shared" si="102"/>
        <v>77760.256109328955</v>
      </c>
      <c r="F251" s="797">
        <f t="shared" si="102"/>
        <v>144572.09920976448</v>
      </c>
      <c r="G251" s="797">
        <f t="shared" si="102"/>
        <v>107568.52619774143</v>
      </c>
      <c r="H251" s="797">
        <f t="shared" si="102"/>
        <v>0</v>
      </c>
      <c r="I251" s="836">
        <f t="shared" si="103"/>
        <v>5765612</v>
      </c>
      <c r="J251" s="797">
        <v>452</v>
      </c>
      <c r="K251" s="797">
        <f t="shared" si="104"/>
        <v>12755.778761061947</v>
      </c>
      <c r="L251" s="698"/>
      <c r="M251" s="698"/>
      <c r="N251" s="297" t="s">
        <v>1368</v>
      </c>
      <c r="O251" s="810">
        <f t="shared" si="81"/>
        <v>41025</v>
      </c>
      <c r="P251" s="810">
        <v>41028</v>
      </c>
      <c r="Q251" s="811" t="s">
        <v>1568</v>
      </c>
      <c r="R251" s="304">
        <v>457</v>
      </c>
      <c r="S251" s="255">
        <v>11373.920634920634</v>
      </c>
      <c r="T251" s="8">
        <f t="shared" si="105"/>
        <v>5197881.7301587295</v>
      </c>
      <c r="U251" s="452"/>
      <c r="V251" s="812"/>
      <c r="W251" s="840"/>
      <c r="X251" s="840"/>
      <c r="Y251" s="8">
        <f t="shared" si="106"/>
        <v>0</v>
      </c>
    </row>
    <row r="252" spans="1:25">
      <c r="A252" s="835">
        <f t="shared" si="88"/>
        <v>54</v>
      </c>
      <c r="B252" s="297" t="s">
        <v>1544</v>
      </c>
      <c r="C252" s="864">
        <f t="shared" si="101"/>
        <v>14620727.878910191</v>
      </c>
      <c r="D252" s="797">
        <f t="shared" si="102"/>
        <v>511438.85454972222</v>
      </c>
      <c r="E252" s="797">
        <f t="shared" si="102"/>
        <v>167218.95782802597</v>
      </c>
      <c r="F252" s="797">
        <f t="shared" si="102"/>
        <v>310893.9832563962</v>
      </c>
      <c r="G252" s="797">
        <f t="shared" si="102"/>
        <v>231319.92801815196</v>
      </c>
      <c r="H252" s="797">
        <f t="shared" si="102"/>
        <v>0</v>
      </c>
      <c r="I252" s="836">
        <f t="shared" si="103"/>
        <v>15841600</v>
      </c>
      <c r="J252" s="797">
        <v>972</v>
      </c>
      <c r="K252" s="797">
        <f t="shared" si="104"/>
        <v>16297.942386831275</v>
      </c>
      <c r="L252" s="698"/>
      <c r="M252" s="698"/>
      <c r="N252" s="192" t="s">
        <v>1305</v>
      </c>
      <c r="O252" s="810">
        <f t="shared" si="81"/>
        <v>41025</v>
      </c>
      <c r="P252" s="810">
        <v>41028</v>
      </c>
      <c r="Q252" s="811" t="s">
        <v>1568</v>
      </c>
      <c r="R252" s="304">
        <f>J252</f>
        <v>972</v>
      </c>
      <c r="S252" s="255">
        <v>15041.901109989909</v>
      </c>
      <c r="T252" s="8">
        <f t="shared" si="105"/>
        <v>14620727.878910191</v>
      </c>
      <c r="U252" s="452"/>
      <c r="V252" s="812"/>
      <c r="W252" s="840"/>
      <c r="X252" s="840"/>
      <c r="Y252" s="8">
        <f t="shared" si="106"/>
        <v>0</v>
      </c>
    </row>
    <row r="253" spans="1:25">
      <c r="A253" s="835">
        <f t="shared" si="88"/>
        <v>55</v>
      </c>
      <c r="B253" s="297" t="s">
        <v>1207</v>
      </c>
      <c r="C253" s="864">
        <f t="shared" si="101"/>
        <v>3413400</v>
      </c>
      <c r="D253" s="797">
        <f t="shared" si="102"/>
        <v>105234.332211877</v>
      </c>
      <c r="E253" s="797">
        <f t="shared" si="102"/>
        <v>34407.192968729621</v>
      </c>
      <c r="F253" s="797">
        <f t="shared" si="102"/>
        <v>63969.955402550659</v>
      </c>
      <c r="G253" s="797">
        <f t="shared" si="102"/>
        <v>47596.693007850197</v>
      </c>
      <c r="H253" s="797">
        <f t="shared" si="102"/>
        <v>0</v>
      </c>
      <c r="I253" s="836">
        <f t="shared" si="103"/>
        <v>3664608</v>
      </c>
      <c r="J253" s="797">
        <v>200</v>
      </c>
      <c r="K253" s="797">
        <f t="shared" si="104"/>
        <v>18323.04</v>
      </c>
      <c r="L253" s="698"/>
      <c r="M253" s="698"/>
      <c r="N253" s="192" t="s">
        <v>1272</v>
      </c>
      <c r="O253" s="810">
        <f t="shared" si="81"/>
        <v>41028</v>
      </c>
      <c r="P253" s="810">
        <v>41031</v>
      </c>
      <c r="Q253" s="811" t="s">
        <v>980</v>
      </c>
      <c r="R253" s="862">
        <v>200</v>
      </c>
      <c r="S253" s="252">
        <v>17067</v>
      </c>
      <c r="T253" s="8">
        <f t="shared" si="105"/>
        <v>3413400</v>
      </c>
      <c r="U253" s="452"/>
      <c r="V253" s="812"/>
      <c r="W253" s="840"/>
      <c r="X253" s="840"/>
      <c r="Y253" s="8">
        <f t="shared" si="106"/>
        <v>0</v>
      </c>
    </row>
    <row r="254" spans="1:25">
      <c r="A254" s="835">
        <f t="shared" si="88"/>
        <v>56</v>
      </c>
      <c r="B254" s="297" t="s">
        <v>1232</v>
      </c>
      <c r="C254" s="864">
        <f t="shared" si="101"/>
        <v>1199544.4444444445</v>
      </c>
      <c r="D254" s="797">
        <f t="shared" si="102"/>
        <v>52617.166105938501</v>
      </c>
      <c r="E254" s="797">
        <f t="shared" si="102"/>
        <v>17203.596484364811</v>
      </c>
      <c r="F254" s="797">
        <f t="shared" si="102"/>
        <v>31984.977701275329</v>
      </c>
      <c r="G254" s="797">
        <f t="shared" si="102"/>
        <v>23798.346503925099</v>
      </c>
      <c r="H254" s="797">
        <f t="shared" si="102"/>
        <v>0</v>
      </c>
      <c r="I254" s="836">
        <f t="shared" si="103"/>
        <v>1325149</v>
      </c>
      <c r="J254" s="797">
        <v>100</v>
      </c>
      <c r="K254" s="797">
        <f t="shared" si="104"/>
        <v>13251.49</v>
      </c>
      <c r="L254" s="698"/>
      <c r="M254" s="698"/>
      <c r="N254" s="189" t="s">
        <v>1288</v>
      </c>
      <c r="O254" s="810">
        <f t="shared" si="81"/>
        <v>41028</v>
      </c>
      <c r="P254" s="810">
        <v>41031</v>
      </c>
      <c r="Q254" s="811" t="s">
        <v>980</v>
      </c>
      <c r="R254" s="304">
        <f>J254</f>
        <v>100</v>
      </c>
      <c r="S254" s="252">
        <v>11995.444444444445</v>
      </c>
      <c r="T254" s="8">
        <f t="shared" si="105"/>
        <v>1199544.4444444445</v>
      </c>
      <c r="U254" s="452"/>
      <c r="V254" s="812"/>
      <c r="W254" s="840"/>
      <c r="X254" s="840"/>
      <c r="Y254" s="8">
        <f t="shared" si="106"/>
        <v>0</v>
      </c>
    </row>
    <row r="255" spans="1:25">
      <c r="A255" s="835">
        <f t="shared" si="88"/>
        <v>57</v>
      </c>
      <c r="B255" s="297" t="s">
        <v>1206</v>
      </c>
      <c r="C255" s="864">
        <f t="shared" si="101"/>
        <v>4173440</v>
      </c>
      <c r="D255" s="797">
        <f t="shared" si="102"/>
        <v>166796.41655582504</v>
      </c>
      <c r="E255" s="797">
        <f t="shared" si="102"/>
        <v>54535.400855436455</v>
      </c>
      <c r="F255" s="797">
        <f t="shared" si="102"/>
        <v>101392.37931304279</v>
      </c>
      <c r="G255" s="797">
        <f t="shared" si="102"/>
        <v>75440.758417442557</v>
      </c>
      <c r="H255" s="797">
        <f t="shared" si="102"/>
        <v>0</v>
      </c>
      <c r="I255" s="836">
        <f t="shared" si="103"/>
        <v>4571605</v>
      </c>
      <c r="J255" s="797">
        <v>317</v>
      </c>
      <c r="K255" s="797">
        <f t="shared" si="104"/>
        <v>14421.466876971608</v>
      </c>
      <c r="L255" s="698"/>
      <c r="M255" s="698"/>
      <c r="N255" s="192" t="s">
        <v>1443</v>
      </c>
      <c r="O255" s="810">
        <f t="shared" si="81"/>
        <v>41029</v>
      </c>
      <c r="P255" s="810">
        <v>41032</v>
      </c>
      <c r="Q255" s="811" t="s">
        <v>982</v>
      </c>
      <c r="R255" s="304">
        <v>320</v>
      </c>
      <c r="S255" s="842">
        <v>13042</v>
      </c>
      <c r="T255" s="8">
        <f t="shared" si="105"/>
        <v>4173440</v>
      </c>
      <c r="U255" s="452"/>
      <c r="V255" s="812"/>
      <c r="W255" s="840"/>
      <c r="X255" s="840"/>
      <c r="Y255" s="8">
        <f t="shared" si="106"/>
        <v>0</v>
      </c>
    </row>
    <row r="256" spans="1:25">
      <c r="A256" s="835">
        <f t="shared" si="88"/>
        <v>58</v>
      </c>
      <c r="B256" s="297" t="s">
        <v>1149</v>
      </c>
      <c r="C256" s="864">
        <f t="shared" si="101"/>
        <v>274050</v>
      </c>
      <c r="D256" s="797">
        <f t="shared" si="102"/>
        <v>160482.35662311243</v>
      </c>
      <c r="E256" s="797">
        <f t="shared" si="102"/>
        <v>52470.969277312674</v>
      </c>
      <c r="F256" s="797">
        <f t="shared" si="102"/>
        <v>97554.181988889759</v>
      </c>
      <c r="G256" s="797">
        <f t="shared" si="102"/>
        <v>72584.956836971542</v>
      </c>
      <c r="H256" s="797">
        <f t="shared" si="102"/>
        <v>0</v>
      </c>
      <c r="I256" s="836">
        <f t="shared" si="103"/>
        <v>657142</v>
      </c>
      <c r="J256" s="797">
        <v>305</v>
      </c>
      <c r="K256" s="797">
        <f t="shared" si="104"/>
        <v>2154.5639344262295</v>
      </c>
      <c r="L256" s="698"/>
      <c r="M256" s="698"/>
      <c r="N256" s="192" t="s">
        <v>767</v>
      </c>
      <c r="O256" s="810">
        <f t="shared" si="81"/>
        <v>41030</v>
      </c>
      <c r="P256" s="810">
        <v>41033</v>
      </c>
      <c r="Q256" s="811" t="s">
        <v>983</v>
      </c>
      <c r="R256" s="304">
        <v>10</v>
      </c>
      <c r="S256" s="255">
        <v>27405</v>
      </c>
      <c r="T256" s="8">
        <f t="shared" si="105"/>
        <v>274050</v>
      </c>
      <c r="U256" s="452"/>
      <c r="V256" s="812"/>
      <c r="W256" s="840"/>
      <c r="X256" s="840"/>
      <c r="Y256" s="8">
        <f t="shared" si="106"/>
        <v>0</v>
      </c>
    </row>
    <row r="257" spans="1:25">
      <c r="A257" s="835">
        <f t="shared" si="88"/>
        <v>59</v>
      </c>
      <c r="B257" s="297" t="s">
        <v>1205</v>
      </c>
      <c r="C257" s="864">
        <f t="shared" si="101"/>
        <v>2181200</v>
      </c>
      <c r="D257" s="797">
        <f t="shared" si="102"/>
        <v>98920.272279164376</v>
      </c>
      <c r="E257" s="797">
        <f t="shared" si="102"/>
        <v>32342.761390605847</v>
      </c>
      <c r="F257" s="797">
        <f t="shared" si="102"/>
        <v>60131.758078397615</v>
      </c>
      <c r="G257" s="797">
        <f t="shared" si="102"/>
        <v>44740.891427379182</v>
      </c>
      <c r="H257" s="797">
        <f t="shared" si="102"/>
        <v>0</v>
      </c>
      <c r="I257" s="836">
        <f t="shared" si="103"/>
        <v>2417336</v>
      </c>
      <c r="J257" s="797">
        <v>188</v>
      </c>
      <c r="K257" s="797">
        <f t="shared" si="104"/>
        <v>12858.170212765957</v>
      </c>
      <c r="L257" s="698"/>
      <c r="M257" s="698"/>
      <c r="N257" s="192" t="s">
        <v>1384</v>
      </c>
      <c r="O257" s="810">
        <f t="shared" si="81"/>
        <v>41030</v>
      </c>
      <c r="P257" s="810">
        <v>41033</v>
      </c>
      <c r="Q257" s="811" t="s">
        <v>983</v>
      </c>
      <c r="R257" s="304">
        <v>190</v>
      </c>
      <c r="S257" s="255">
        <v>11480</v>
      </c>
      <c r="T257" s="8">
        <f t="shared" si="105"/>
        <v>2181200</v>
      </c>
      <c r="U257" s="452"/>
      <c r="V257" s="812"/>
      <c r="W257" s="840"/>
      <c r="X257" s="840"/>
      <c r="Y257" s="8">
        <f t="shared" si="106"/>
        <v>0</v>
      </c>
    </row>
    <row r="258" spans="1:25">
      <c r="A258" s="835">
        <f t="shared" si="88"/>
        <v>60</v>
      </c>
      <c r="B258" s="297" t="s">
        <v>1137</v>
      </c>
      <c r="C258" s="864">
        <f t="shared" si="101"/>
        <v>3933600</v>
      </c>
      <c r="D258" s="797">
        <f t="shared" si="102"/>
        <v>471975.97997026832</v>
      </c>
      <c r="E258" s="797">
        <f t="shared" si="102"/>
        <v>154316.26046475235</v>
      </c>
      <c r="F258" s="797">
        <f t="shared" si="102"/>
        <v>286905.24998043972</v>
      </c>
      <c r="G258" s="797">
        <f t="shared" si="102"/>
        <v>213471.16814020812</v>
      </c>
      <c r="H258" s="797">
        <f t="shared" si="102"/>
        <v>0</v>
      </c>
      <c r="I258" s="836">
        <f t="shared" si="103"/>
        <v>5060269</v>
      </c>
      <c r="J258" s="797">
        <v>897</v>
      </c>
      <c r="K258" s="797">
        <f t="shared" si="104"/>
        <v>5641.3255295429208</v>
      </c>
      <c r="L258" s="698"/>
      <c r="M258" s="698"/>
      <c r="N258" s="192" t="s">
        <v>1411</v>
      </c>
      <c r="O258" s="810">
        <f t="shared" si="81"/>
        <v>41030</v>
      </c>
      <c r="P258" s="810">
        <v>41033</v>
      </c>
      <c r="Q258" s="811" t="s">
        <v>984</v>
      </c>
      <c r="R258" s="304">
        <v>300</v>
      </c>
      <c r="S258" s="255">
        <v>13112</v>
      </c>
      <c r="T258" s="8">
        <f t="shared" si="105"/>
        <v>3933600</v>
      </c>
      <c r="U258" s="452"/>
      <c r="V258" s="812"/>
      <c r="W258" s="840"/>
      <c r="X258" s="840"/>
      <c r="Y258" s="8">
        <f t="shared" si="106"/>
        <v>0</v>
      </c>
    </row>
    <row r="259" spans="1:25">
      <c r="A259" s="835">
        <f t="shared" si="88"/>
        <v>61</v>
      </c>
      <c r="B259" s="297" t="s">
        <v>1204</v>
      </c>
      <c r="C259" s="864">
        <f t="shared" si="101"/>
        <v>1749570</v>
      </c>
      <c r="D259" s="797">
        <f t="shared" ref="D259:H268" si="107">IF($J$371&lt;&gt;0,D$371/$J$371*$J259,0)</f>
        <v>151011.2667240435</v>
      </c>
      <c r="E259" s="797">
        <f t="shared" si="107"/>
        <v>49374.321910127008</v>
      </c>
      <c r="F259" s="797">
        <f t="shared" si="107"/>
        <v>91796.886002660191</v>
      </c>
      <c r="G259" s="797">
        <f t="shared" si="107"/>
        <v>68301.254466265033</v>
      </c>
      <c r="H259" s="797">
        <f t="shared" si="107"/>
        <v>0</v>
      </c>
      <c r="I259" s="836">
        <f t="shared" si="103"/>
        <v>2110054</v>
      </c>
      <c r="J259" s="797">
        <v>287</v>
      </c>
      <c r="K259" s="797">
        <f t="shared" si="104"/>
        <v>7352.1045296167249</v>
      </c>
      <c r="L259" s="698"/>
      <c r="M259" s="698"/>
      <c r="N259" s="192" t="s">
        <v>758</v>
      </c>
      <c r="O259" s="810">
        <f t="shared" si="81"/>
        <v>41030</v>
      </c>
      <c r="P259" s="810">
        <v>41033</v>
      </c>
      <c r="Q259" s="811" t="s">
        <v>984</v>
      </c>
      <c r="R259" s="304">
        <v>145</v>
      </c>
      <c r="S259" s="255">
        <v>12066</v>
      </c>
      <c r="T259" s="8">
        <f t="shared" si="105"/>
        <v>1749570</v>
      </c>
      <c r="U259" s="452"/>
      <c r="V259" s="812"/>
      <c r="W259" s="840"/>
      <c r="X259" s="840"/>
      <c r="Y259" s="8">
        <f t="shared" si="106"/>
        <v>0</v>
      </c>
    </row>
    <row r="260" spans="1:25">
      <c r="A260" s="835">
        <f t="shared" si="88"/>
        <v>62</v>
      </c>
      <c r="B260" s="297" t="s">
        <v>1203</v>
      </c>
      <c r="C260" s="864">
        <f t="shared" si="101"/>
        <v>2634996</v>
      </c>
      <c r="D260" s="797">
        <f t="shared" si="107"/>
        <v>133647.60190908378</v>
      </c>
      <c r="E260" s="797">
        <f t="shared" si="107"/>
        <v>43697.135070286618</v>
      </c>
      <c r="F260" s="797">
        <f t="shared" si="107"/>
        <v>81241.843361239342</v>
      </c>
      <c r="G260" s="797">
        <f t="shared" si="107"/>
        <v>60447.800119969746</v>
      </c>
      <c r="H260" s="797">
        <f t="shared" si="107"/>
        <v>0</v>
      </c>
      <c r="I260" s="836">
        <f t="shared" si="103"/>
        <v>2954030</v>
      </c>
      <c r="J260" s="797">
        <v>254</v>
      </c>
      <c r="K260" s="797">
        <f t="shared" si="104"/>
        <v>11630.039370078741</v>
      </c>
      <c r="L260" s="698"/>
      <c r="M260" s="698"/>
      <c r="N260" s="192" t="s">
        <v>1448</v>
      </c>
      <c r="O260" s="810">
        <f t="shared" si="81"/>
        <v>41030</v>
      </c>
      <c r="P260" s="810">
        <v>41033</v>
      </c>
      <c r="Q260" s="811" t="s">
        <v>984</v>
      </c>
      <c r="R260" s="304">
        <f>J260</f>
        <v>254</v>
      </c>
      <c r="S260" s="255">
        <v>10374</v>
      </c>
      <c r="T260" s="8">
        <f t="shared" si="105"/>
        <v>2634996</v>
      </c>
      <c r="U260" s="452"/>
      <c r="V260" s="812"/>
      <c r="W260" s="840"/>
      <c r="X260" s="840"/>
      <c r="Y260" s="8">
        <f t="shared" si="106"/>
        <v>0</v>
      </c>
    </row>
    <row r="261" spans="1:25">
      <c r="A261" s="835">
        <f t="shared" si="88"/>
        <v>63</v>
      </c>
      <c r="B261" s="297" t="s">
        <v>1136</v>
      </c>
      <c r="C261" s="864">
        <f t="shared" si="101"/>
        <v>1926171</v>
      </c>
      <c r="D261" s="797">
        <f t="shared" si="107"/>
        <v>156272.98333463733</v>
      </c>
      <c r="E261" s="797">
        <f t="shared" si="107"/>
        <v>51094.68155856349</v>
      </c>
      <c r="F261" s="797">
        <f t="shared" si="107"/>
        <v>94995.383772787725</v>
      </c>
      <c r="G261" s="797">
        <f t="shared" si="107"/>
        <v>70681.089116657546</v>
      </c>
      <c r="H261" s="797">
        <f t="shared" si="107"/>
        <v>0</v>
      </c>
      <c r="I261" s="836">
        <f t="shared" si="103"/>
        <v>2299215</v>
      </c>
      <c r="J261" s="797">
        <v>297</v>
      </c>
      <c r="K261" s="797">
        <f t="shared" si="104"/>
        <v>7741.4646464646466</v>
      </c>
      <c r="L261" s="698"/>
      <c r="M261" s="698"/>
      <c r="N261" s="192" t="s">
        <v>1317</v>
      </c>
      <c r="O261" s="810">
        <f t="shared" si="81"/>
        <v>41030</v>
      </c>
      <c r="P261" s="810">
        <v>41033</v>
      </c>
      <c r="Q261" s="811" t="s">
        <v>984</v>
      </c>
      <c r="R261" s="862">
        <v>163</v>
      </c>
      <c r="S261" s="255">
        <v>11817</v>
      </c>
      <c r="T261" s="8">
        <f t="shared" si="105"/>
        <v>1926171</v>
      </c>
      <c r="U261" s="452"/>
      <c r="V261" s="812"/>
      <c r="W261" s="840"/>
      <c r="X261" s="840"/>
      <c r="Y261" s="8">
        <f t="shared" si="106"/>
        <v>0</v>
      </c>
    </row>
    <row r="262" spans="1:25">
      <c r="A262" s="835">
        <f t="shared" si="88"/>
        <v>64</v>
      </c>
      <c r="B262" s="297" t="s">
        <v>1131</v>
      </c>
      <c r="C262" s="864">
        <f t="shared" si="101"/>
        <v>959635.55555555562</v>
      </c>
      <c r="D262" s="797">
        <f t="shared" si="107"/>
        <v>42093.732884750796</v>
      </c>
      <c r="E262" s="797">
        <f t="shared" si="107"/>
        <v>13762.877187491849</v>
      </c>
      <c r="F262" s="797">
        <f t="shared" si="107"/>
        <v>25587.982161020263</v>
      </c>
      <c r="G262" s="797">
        <f t="shared" si="107"/>
        <v>19038.677203140076</v>
      </c>
      <c r="H262" s="797">
        <f t="shared" si="107"/>
        <v>0</v>
      </c>
      <c r="I262" s="836">
        <f t="shared" si="103"/>
        <v>1060119</v>
      </c>
      <c r="J262" s="797">
        <v>80</v>
      </c>
      <c r="K262" s="797">
        <f t="shared" si="104"/>
        <v>13251.487499999999</v>
      </c>
      <c r="L262" s="698"/>
      <c r="M262" s="698"/>
      <c r="N262" s="189" t="s">
        <v>1288</v>
      </c>
      <c r="O262" s="810">
        <f t="shared" si="81"/>
        <v>41030</v>
      </c>
      <c r="P262" s="810">
        <v>41033</v>
      </c>
      <c r="Q262" s="811" t="s">
        <v>984</v>
      </c>
      <c r="R262" s="304">
        <f>J262</f>
        <v>80</v>
      </c>
      <c r="S262" s="252">
        <v>11995.444444444445</v>
      </c>
      <c r="T262" s="8">
        <f t="shared" si="105"/>
        <v>959635.55555555562</v>
      </c>
      <c r="U262" s="452"/>
      <c r="V262" s="812"/>
      <c r="W262" s="840"/>
      <c r="X262" s="840"/>
      <c r="Y262" s="8">
        <f t="shared" si="106"/>
        <v>0</v>
      </c>
    </row>
    <row r="263" spans="1:25">
      <c r="A263" s="835">
        <f t="shared" si="88"/>
        <v>65</v>
      </c>
      <c r="B263" s="297" t="s">
        <v>1202</v>
      </c>
      <c r="C263" s="864">
        <f t="shared" si="101"/>
        <v>1036800</v>
      </c>
      <c r="D263" s="797">
        <f t="shared" si="107"/>
        <v>162060.87160629057</v>
      </c>
      <c r="E263" s="797">
        <f t="shared" si="107"/>
        <v>52987.077171843623</v>
      </c>
      <c r="F263" s="797">
        <f t="shared" si="107"/>
        <v>98513.731319928018</v>
      </c>
      <c r="G263" s="797">
        <f t="shared" si="107"/>
        <v>73298.907232089303</v>
      </c>
      <c r="H263" s="797">
        <f t="shared" si="107"/>
        <v>0</v>
      </c>
      <c r="I263" s="836">
        <f t="shared" si="103"/>
        <v>1423661</v>
      </c>
      <c r="J263" s="797">
        <v>308</v>
      </c>
      <c r="K263" s="797">
        <f t="shared" si="104"/>
        <v>4622.2759740259744</v>
      </c>
      <c r="L263" s="698"/>
      <c r="M263" s="698"/>
      <c r="N263" s="192" t="s">
        <v>1423</v>
      </c>
      <c r="O263" s="810">
        <f t="shared" ref="O263:O320" si="108">P263-3</f>
        <v>41033</v>
      </c>
      <c r="P263" s="810">
        <v>41036</v>
      </c>
      <c r="Q263" s="811" t="s">
        <v>985</v>
      </c>
      <c r="R263" s="304">
        <v>150</v>
      </c>
      <c r="S263" s="255">
        <v>6912</v>
      </c>
      <c r="T263" s="8">
        <f t="shared" si="105"/>
        <v>1036800</v>
      </c>
      <c r="U263" s="452"/>
      <c r="V263" s="812"/>
      <c r="W263" s="840"/>
      <c r="X263" s="840"/>
      <c r="Y263" s="8">
        <f t="shared" si="106"/>
        <v>0</v>
      </c>
    </row>
    <row r="264" spans="1:25">
      <c r="A264" s="835">
        <f t="shared" si="88"/>
        <v>66</v>
      </c>
      <c r="B264" s="297" t="s">
        <v>986</v>
      </c>
      <c r="C264" s="864">
        <f t="shared" si="101"/>
        <v>27079</v>
      </c>
      <c r="D264" s="797">
        <f t="shared" si="107"/>
        <v>263085.83052969247</v>
      </c>
      <c r="E264" s="797">
        <f t="shared" si="107"/>
        <v>86017.982421824054</v>
      </c>
      <c r="F264" s="797">
        <f t="shared" si="107"/>
        <v>159924.88850637665</v>
      </c>
      <c r="G264" s="797">
        <f t="shared" si="107"/>
        <v>118991.73251962548</v>
      </c>
      <c r="H264" s="797">
        <f t="shared" si="107"/>
        <v>0</v>
      </c>
      <c r="I264" s="836">
        <f t="shared" si="103"/>
        <v>655099</v>
      </c>
      <c r="J264" s="797">
        <v>500</v>
      </c>
      <c r="K264" s="797">
        <f t="shared" si="104"/>
        <v>1310.1980000000001</v>
      </c>
      <c r="L264" s="698"/>
      <c r="M264" s="698"/>
      <c r="N264" s="192" t="s">
        <v>1385</v>
      </c>
      <c r="O264" s="810">
        <f t="shared" si="108"/>
        <v>41033</v>
      </c>
      <c r="P264" s="810">
        <v>41036</v>
      </c>
      <c r="Q264" s="811" t="s">
        <v>985</v>
      </c>
      <c r="R264" s="304">
        <v>3</v>
      </c>
      <c r="S264" s="255">
        <v>9026.3333333333339</v>
      </c>
      <c r="T264" s="8">
        <f t="shared" si="105"/>
        <v>27079</v>
      </c>
      <c r="U264" s="452"/>
      <c r="V264" s="812"/>
      <c r="W264" s="840"/>
      <c r="X264" s="840"/>
      <c r="Y264" s="8">
        <f t="shared" si="106"/>
        <v>0</v>
      </c>
    </row>
    <row r="265" spans="1:25">
      <c r="A265" s="835">
        <f t="shared" si="88"/>
        <v>67</v>
      </c>
      <c r="B265" s="297" t="s">
        <v>987</v>
      </c>
      <c r="C265" s="864">
        <f t="shared" si="101"/>
        <v>274050</v>
      </c>
      <c r="D265" s="797">
        <f t="shared" si="107"/>
        <v>2630858.3052969249</v>
      </c>
      <c r="E265" s="797">
        <f t="shared" si="107"/>
        <v>860179.82421824057</v>
      </c>
      <c r="F265" s="797">
        <f t="shared" si="107"/>
        <v>1599248.8850637665</v>
      </c>
      <c r="G265" s="797">
        <f t="shared" si="107"/>
        <v>1189917.3251962548</v>
      </c>
      <c r="H265" s="797">
        <f t="shared" si="107"/>
        <v>0</v>
      </c>
      <c r="I265" s="836">
        <f t="shared" si="103"/>
        <v>6554254</v>
      </c>
      <c r="J265" s="797">
        <v>5000</v>
      </c>
      <c r="K265" s="797">
        <f t="shared" si="104"/>
        <v>1310.8507999999999</v>
      </c>
      <c r="L265" s="698"/>
      <c r="M265" s="698"/>
      <c r="N265" s="192" t="s">
        <v>767</v>
      </c>
      <c r="O265" s="810">
        <f t="shared" si="108"/>
        <v>41033</v>
      </c>
      <c r="P265" s="810">
        <v>41036</v>
      </c>
      <c r="Q265" s="811" t="s">
        <v>985</v>
      </c>
      <c r="R265" s="862">
        <v>10</v>
      </c>
      <c r="S265" s="255">
        <v>27405</v>
      </c>
      <c r="T265" s="8">
        <f t="shared" si="105"/>
        <v>274050</v>
      </c>
      <c r="U265" s="452"/>
      <c r="V265" s="812"/>
      <c r="W265" s="840"/>
      <c r="X265" s="840"/>
      <c r="Y265" s="8">
        <f t="shared" si="106"/>
        <v>0</v>
      </c>
    </row>
    <row r="266" spans="1:25">
      <c r="A266" s="835">
        <f>IF(B266&lt;&gt;"",A265+1,"")</f>
        <v>68</v>
      </c>
      <c r="B266" s="297" t="s">
        <v>1153</v>
      </c>
      <c r="C266" s="864">
        <f t="shared" si="101"/>
        <v>3557890</v>
      </c>
      <c r="D266" s="797">
        <f t="shared" si="107"/>
        <v>418306.47054221103</v>
      </c>
      <c r="E266" s="797">
        <f t="shared" si="107"/>
        <v>136768.59205070024</v>
      </c>
      <c r="F266" s="797">
        <f t="shared" si="107"/>
        <v>254280.57272513886</v>
      </c>
      <c r="G266" s="797">
        <f t="shared" si="107"/>
        <v>189196.85470620453</v>
      </c>
      <c r="H266" s="797">
        <f t="shared" si="107"/>
        <v>0</v>
      </c>
      <c r="I266" s="836">
        <f t="shared" si="103"/>
        <v>4556442</v>
      </c>
      <c r="J266" s="797">
        <v>795</v>
      </c>
      <c r="K266" s="797">
        <f t="shared" si="104"/>
        <v>5731.3735849056602</v>
      </c>
      <c r="L266" s="698"/>
      <c r="M266" s="698"/>
      <c r="N266" s="192" t="s">
        <v>1425</v>
      </c>
      <c r="O266" s="810">
        <f t="shared" si="108"/>
        <v>41034</v>
      </c>
      <c r="P266" s="810">
        <v>41037</v>
      </c>
      <c r="Q266" s="811" t="s">
        <v>988</v>
      </c>
      <c r="R266" s="862">
        <v>274</v>
      </c>
      <c r="S266" s="255">
        <v>12985</v>
      </c>
      <c r="T266" s="8">
        <f t="shared" si="105"/>
        <v>3557890</v>
      </c>
      <c r="U266" s="452"/>
      <c r="V266" s="812"/>
      <c r="W266" s="840"/>
      <c r="X266" s="840"/>
      <c r="Y266" s="8">
        <f t="shared" si="106"/>
        <v>0</v>
      </c>
    </row>
    <row r="267" spans="1:25">
      <c r="A267" s="835">
        <f t="shared" ref="A267:A329" si="109">IF(B267&lt;&gt;"",A266+1,"")</f>
        <v>69</v>
      </c>
      <c r="B267" s="297" t="s">
        <v>1570</v>
      </c>
      <c r="C267" s="864">
        <f t="shared" si="101"/>
        <v>2116250</v>
      </c>
      <c r="D267" s="797">
        <f t="shared" si="107"/>
        <v>264664.34551287064</v>
      </c>
      <c r="E267" s="797">
        <f t="shared" si="107"/>
        <v>86534.090316354996</v>
      </c>
      <c r="F267" s="797">
        <f t="shared" si="107"/>
        <v>160884.43783741491</v>
      </c>
      <c r="G267" s="797">
        <f t="shared" si="107"/>
        <v>119705.68291474324</v>
      </c>
      <c r="H267" s="797">
        <f t="shared" si="107"/>
        <v>0</v>
      </c>
      <c r="I267" s="836">
        <f t="shared" si="103"/>
        <v>2748039</v>
      </c>
      <c r="J267" s="797">
        <v>503</v>
      </c>
      <c r="K267" s="797">
        <f t="shared" si="104"/>
        <v>5463.2982107355865</v>
      </c>
      <c r="L267" s="698"/>
      <c r="M267" s="698"/>
      <c r="N267" s="192" t="s">
        <v>1399</v>
      </c>
      <c r="O267" s="810">
        <f t="shared" si="108"/>
        <v>41034</v>
      </c>
      <c r="P267" s="810">
        <v>41037</v>
      </c>
      <c r="Q267" s="811" t="s">
        <v>1569</v>
      </c>
      <c r="R267" s="862">
        <v>250</v>
      </c>
      <c r="S267" s="842">
        <v>8465</v>
      </c>
      <c r="T267" s="8">
        <f t="shared" si="105"/>
        <v>2116250</v>
      </c>
      <c r="U267" s="452"/>
      <c r="V267" s="812"/>
      <c r="W267" s="840"/>
      <c r="X267" s="840"/>
      <c r="Y267" s="8">
        <f t="shared" si="106"/>
        <v>0</v>
      </c>
    </row>
    <row r="268" spans="1:25">
      <c r="A268" s="835">
        <f t="shared" si="109"/>
        <v>70</v>
      </c>
      <c r="B268" s="297" t="s">
        <v>1201</v>
      </c>
      <c r="C268" s="864">
        <f>T268</f>
        <v>1456200</v>
      </c>
      <c r="D268" s="797">
        <f t="shared" si="107"/>
        <v>157851.49831781548</v>
      </c>
      <c r="E268" s="797">
        <f t="shared" si="107"/>
        <v>51610.789453094432</v>
      </c>
      <c r="F268" s="797">
        <f t="shared" si="107"/>
        <v>95954.933103825984</v>
      </c>
      <c r="G268" s="797">
        <f t="shared" si="107"/>
        <v>71395.039511775292</v>
      </c>
      <c r="H268" s="797">
        <f t="shared" si="107"/>
        <v>0</v>
      </c>
      <c r="I268" s="836">
        <f t="shared" si="103"/>
        <v>1833012</v>
      </c>
      <c r="J268" s="797">
        <v>300</v>
      </c>
      <c r="K268" s="797">
        <f t="shared" si="104"/>
        <v>6110.04</v>
      </c>
      <c r="L268" s="698"/>
      <c r="M268" s="698"/>
      <c r="N268" s="192" t="s">
        <v>1419</v>
      </c>
      <c r="O268" s="810">
        <f t="shared" si="108"/>
        <v>41036</v>
      </c>
      <c r="P268" s="810">
        <v>41039</v>
      </c>
      <c r="Q268" s="811" t="s">
        <v>990</v>
      </c>
      <c r="R268" s="304">
        <v>100</v>
      </c>
      <c r="S268" s="255">
        <v>14562</v>
      </c>
      <c r="T268" s="8">
        <f t="shared" si="105"/>
        <v>1456200</v>
      </c>
      <c r="U268" s="452"/>
      <c r="V268" s="812"/>
      <c r="W268" s="840"/>
      <c r="X268" s="840"/>
      <c r="Y268" s="8">
        <f t="shared" si="106"/>
        <v>0</v>
      </c>
    </row>
    <row r="269" spans="1:25">
      <c r="A269" s="835">
        <f t="shared" si="109"/>
        <v>71</v>
      </c>
      <c r="B269" s="297" t="s">
        <v>1174</v>
      </c>
      <c r="C269" s="864">
        <f>T269</f>
        <v>5376000</v>
      </c>
      <c r="D269" s="797">
        <f t="shared" ref="D269:H278" si="110">IF($J$371&lt;&gt;0,D$371/$J$371*$J269,0)</f>
        <v>539325.95258586959</v>
      </c>
      <c r="E269" s="797">
        <f t="shared" si="110"/>
        <v>176336.86396473931</v>
      </c>
      <c r="F269" s="797">
        <f t="shared" si="110"/>
        <v>327846.02143807214</v>
      </c>
      <c r="G269" s="797">
        <f t="shared" si="110"/>
        <v>243933.05166523225</v>
      </c>
      <c r="H269" s="797">
        <f t="shared" si="110"/>
        <v>0</v>
      </c>
      <c r="I269" s="836">
        <f t="shared" si="103"/>
        <v>6663442</v>
      </c>
      <c r="J269" s="797">
        <v>1025</v>
      </c>
      <c r="K269" s="797">
        <f t="shared" si="104"/>
        <v>6500.919024390244</v>
      </c>
      <c r="L269" s="698"/>
      <c r="M269" s="698"/>
      <c r="N269" s="192" t="s">
        <v>1427</v>
      </c>
      <c r="O269" s="810">
        <f t="shared" si="108"/>
        <v>41038</v>
      </c>
      <c r="P269" s="810">
        <v>41041</v>
      </c>
      <c r="Q269" s="811" t="s">
        <v>991</v>
      </c>
      <c r="R269" s="304">
        <v>500</v>
      </c>
      <c r="S269" s="255">
        <v>10752</v>
      </c>
      <c r="T269" s="8">
        <f t="shared" si="105"/>
        <v>5376000</v>
      </c>
      <c r="U269" s="452"/>
      <c r="V269" s="812"/>
      <c r="W269" s="840"/>
      <c r="X269" s="840"/>
      <c r="Y269" s="8">
        <f t="shared" si="106"/>
        <v>0</v>
      </c>
    </row>
    <row r="270" spans="1:25">
      <c r="A270" s="835">
        <f t="shared" si="109"/>
        <v>72</v>
      </c>
      <c r="B270" s="297" t="s">
        <v>1136</v>
      </c>
      <c r="C270" s="864">
        <f>T270</f>
        <v>200889</v>
      </c>
      <c r="D270" s="797">
        <f t="shared" si="110"/>
        <v>14206.634848603395</v>
      </c>
      <c r="E270" s="797">
        <f t="shared" si="110"/>
        <v>4644.9710507784994</v>
      </c>
      <c r="F270" s="797">
        <f t="shared" si="110"/>
        <v>8635.943979344338</v>
      </c>
      <c r="G270" s="797">
        <f t="shared" si="110"/>
        <v>6425.5535560597764</v>
      </c>
      <c r="H270" s="797">
        <f t="shared" si="110"/>
        <v>0</v>
      </c>
      <c r="I270" s="836">
        <f t="shared" si="103"/>
        <v>234802</v>
      </c>
      <c r="J270" s="797">
        <v>27</v>
      </c>
      <c r="K270" s="797">
        <f t="shared" si="104"/>
        <v>8696.3703703703704</v>
      </c>
      <c r="L270" s="698"/>
      <c r="M270" s="698"/>
      <c r="N270" s="192" t="s">
        <v>1317</v>
      </c>
      <c r="O270" s="810">
        <f t="shared" si="108"/>
        <v>41038</v>
      </c>
      <c r="P270" s="810">
        <v>41041</v>
      </c>
      <c r="Q270" s="811" t="s">
        <v>993</v>
      </c>
      <c r="R270" s="304">
        <v>17</v>
      </c>
      <c r="S270" s="255">
        <v>11817</v>
      </c>
      <c r="T270" s="8">
        <f t="shared" si="105"/>
        <v>200889</v>
      </c>
      <c r="U270" s="452"/>
      <c r="V270" s="812"/>
      <c r="W270" s="840"/>
      <c r="X270" s="840"/>
      <c r="Y270" s="8">
        <f t="shared" si="106"/>
        <v>0</v>
      </c>
    </row>
    <row r="271" spans="1:25">
      <c r="A271" s="835">
        <f t="shared" si="109"/>
        <v>73</v>
      </c>
      <c r="B271" s="297" t="s">
        <v>1118</v>
      </c>
      <c r="C271" s="864">
        <f>T271</f>
        <v>4781700</v>
      </c>
      <c r="D271" s="797">
        <f t="shared" si="110"/>
        <v>710331.74243016972</v>
      </c>
      <c r="E271" s="797">
        <f t="shared" si="110"/>
        <v>232248.55253892497</v>
      </c>
      <c r="F271" s="797">
        <f t="shared" si="110"/>
        <v>431797.19896721694</v>
      </c>
      <c r="G271" s="797">
        <f t="shared" si="110"/>
        <v>321277.67780298879</v>
      </c>
      <c r="H271" s="797">
        <f t="shared" si="110"/>
        <v>0</v>
      </c>
      <c r="I271" s="836">
        <f t="shared" si="103"/>
        <v>6477355</v>
      </c>
      <c r="J271" s="797">
        <v>1350</v>
      </c>
      <c r="K271" s="797">
        <f t="shared" si="104"/>
        <v>4798.0407407407411</v>
      </c>
      <c r="L271" s="698"/>
      <c r="M271" s="698"/>
      <c r="N271" s="192" t="s">
        <v>734</v>
      </c>
      <c r="O271" s="810">
        <f t="shared" si="108"/>
        <v>41038</v>
      </c>
      <c r="P271" s="810">
        <v>41041</v>
      </c>
      <c r="Q271" s="811" t="s">
        <v>993</v>
      </c>
      <c r="R271" s="304">
        <v>450</v>
      </c>
      <c r="S271" s="252">
        <v>10626</v>
      </c>
      <c r="T271" s="8">
        <f t="shared" si="105"/>
        <v>4781700</v>
      </c>
      <c r="U271" s="452"/>
      <c r="V271" s="812"/>
      <c r="W271" s="840"/>
      <c r="X271" s="840"/>
      <c r="Y271" s="8">
        <f t="shared" si="106"/>
        <v>0</v>
      </c>
    </row>
    <row r="272" spans="1:25">
      <c r="A272" s="835">
        <f t="shared" si="109"/>
        <v>74</v>
      </c>
      <c r="B272" s="297" t="s">
        <v>1133</v>
      </c>
      <c r="C272" s="864">
        <f>T272</f>
        <v>1515900</v>
      </c>
      <c r="D272" s="797">
        <f t="shared" si="110"/>
        <v>105234.332211877</v>
      </c>
      <c r="E272" s="797">
        <f t="shared" si="110"/>
        <v>34407.192968729621</v>
      </c>
      <c r="F272" s="797">
        <f t="shared" si="110"/>
        <v>63969.955402550659</v>
      </c>
      <c r="G272" s="797">
        <f t="shared" si="110"/>
        <v>47596.693007850197</v>
      </c>
      <c r="H272" s="797">
        <f t="shared" si="110"/>
        <v>0</v>
      </c>
      <c r="I272" s="836">
        <f t="shared" si="103"/>
        <v>1767108</v>
      </c>
      <c r="J272" s="797">
        <v>200</v>
      </c>
      <c r="K272" s="797">
        <f t="shared" si="104"/>
        <v>8835.5400000000009</v>
      </c>
      <c r="L272" s="848"/>
      <c r="M272" s="698"/>
      <c r="N272" s="192" t="s">
        <v>1380</v>
      </c>
      <c r="O272" s="810">
        <f t="shared" si="108"/>
        <v>41038</v>
      </c>
      <c r="P272" s="810">
        <v>41041</v>
      </c>
      <c r="Q272" s="811" t="s">
        <v>993</v>
      </c>
      <c r="R272" s="862">
        <v>100</v>
      </c>
      <c r="S272" s="255">
        <v>15159</v>
      </c>
      <c r="T272" s="8">
        <f t="shared" si="105"/>
        <v>1515900</v>
      </c>
      <c r="U272" s="452"/>
      <c r="V272" s="812"/>
      <c r="W272" s="840"/>
      <c r="X272" s="840"/>
      <c r="Y272" s="8">
        <f t="shared" si="106"/>
        <v>0</v>
      </c>
    </row>
    <row r="273" spans="1:25">
      <c r="A273" s="835">
        <f t="shared" si="109"/>
        <v>75</v>
      </c>
      <c r="B273" s="297" t="s">
        <v>1131</v>
      </c>
      <c r="C273" s="864">
        <f t="shared" ref="C273:C290" si="111">T273</f>
        <v>1067594.5555555557</v>
      </c>
      <c r="D273" s="797">
        <f t="shared" si="110"/>
        <v>46829.277834285262</v>
      </c>
      <c r="E273" s="797">
        <f t="shared" si="110"/>
        <v>15311.200871084682</v>
      </c>
      <c r="F273" s="797">
        <f t="shared" si="110"/>
        <v>28466.630154135044</v>
      </c>
      <c r="G273" s="797">
        <f t="shared" si="110"/>
        <v>21180.528388493338</v>
      </c>
      <c r="H273" s="797">
        <f t="shared" si="110"/>
        <v>0</v>
      </c>
      <c r="I273" s="836">
        <f t="shared" si="103"/>
        <v>1179382</v>
      </c>
      <c r="J273" s="797">
        <v>89</v>
      </c>
      <c r="K273" s="797">
        <f t="shared" si="104"/>
        <v>13251.483146067416</v>
      </c>
      <c r="L273" s="698"/>
      <c r="M273" s="698"/>
      <c r="N273" s="189" t="s">
        <v>1288</v>
      </c>
      <c r="O273" s="810">
        <f t="shared" si="108"/>
        <v>41038</v>
      </c>
      <c r="P273" s="810">
        <v>41041</v>
      </c>
      <c r="Q273" s="811" t="s">
        <v>993</v>
      </c>
      <c r="R273" s="304">
        <f>J273</f>
        <v>89</v>
      </c>
      <c r="S273" s="252">
        <v>11995.444444444445</v>
      </c>
      <c r="T273" s="8">
        <f t="shared" si="105"/>
        <v>1067594.5555555557</v>
      </c>
      <c r="U273" s="452"/>
      <c r="V273" s="812"/>
      <c r="W273" s="840"/>
      <c r="X273" s="840"/>
      <c r="Y273" s="8">
        <f t="shared" si="106"/>
        <v>0</v>
      </c>
    </row>
    <row r="274" spans="1:25">
      <c r="A274" s="835">
        <f t="shared" si="109"/>
        <v>76</v>
      </c>
      <c r="B274" s="297" t="s">
        <v>1200</v>
      </c>
      <c r="C274" s="864">
        <f t="shared" si="111"/>
        <v>2714850</v>
      </c>
      <c r="D274" s="797">
        <f t="shared" si="110"/>
        <v>237303.41913778262</v>
      </c>
      <c r="E274" s="797">
        <f t="shared" si="110"/>
        <v>77588.220144485298</v>
      </c>
      <c r="F274" s="797">
        <f t="shared" si="110"/>
        <v>144252.24943275173</v>
      </c>
      <c r="G274" s="797">
        <f t="shared" si="110"/>
        <v>107330.54273270219</v>
      </c>
      <c r="H274" s="797">
        <f t="shared" si="110"/>
        <v>0</v>
      </c>
      <c r="I274" s="836">
        <f t="shared" si="103"/>
        <v>3281324</v>
      </c>
      <c r="J274" s="797">
        <v>451</v>
      </c>
      <c r="K274" s="797">
        <f t="shared" si="104"/>
        <v>7275.6629711751666</v>
      </c>
      <c r="L274" s="698"/>
      <c r="M274" s="698"/>
      <c r="N274" s="192" t="s">
        <v>758</v>
      </c>
      <c r="O274" s="810">
        <f t="shared" si="108"/>
        <v>41042</v>
      </c>
      <c r="P274" s="810">
        <v>41045</v>
      </c>
      <c r="Q274" s="811" t="s">
        <v>994</v>
      </c>
      <c r="R274" s="862">
        <v>225</v>
      </c>
      <c r="S274" s="255">
        <v>12066</v>
      </c>
      <c r="T274" s="8">
        <f t="shared" si="105"/>
        <v>2714850</v>
      </c>
      <c r="U274" s="452"/>
      <c r="V274" s="812"/>
      <c r="W274" s="840"/>
      <c r="X274" s="840"/>
      <c r="Y274" s="8">
        <f t="shared" si="106"/>
        <v>0</v>
      </c>
    </row>
    <row r="275" spans="1:25">
      <c r="A275" s="835">
        <f t="shared" si="109"/>
        <v>77</v>
      </c>
      <c r="B275" s="297" t="s">
        <v>1070</v>
      </c>
      <c r="C275" s="864">
        <f t="shared" si="111"/>
        <v>4169206</v>
      </c>
      <c r="D275" s="797">
        <f t="shared" si="110"/>
        <v>411992.41060949845</v>
      </c>
      <c r="E275" s="797">
        <f t="shared" si="110"/>
        <v>134704.16047257648</v>
      </c>
      <c r="F275" s="797">
        <f t="shared" si="110"/>
        <v>250442.37540098582</v>
      </c>
      <c r="G275" s="797">
        <f t="shared" si="110"/>
        <v>186341.05312573351</v>
      </c>
      <c r="H275" s="797">
        <f t="shared" si="110"/>
        <v>0</v>
      </c>
      <c r="I275" s="836">
        <f t="shared" si="103"/>
        <v>5152686</v>
      </c>
      <c r="J275" s="797">
        <v>783</v>
      </c>
      <c r="K275" s="797">
        <f t="shared" si="104"/>
        <v>6580.6973180076629</v>
      </c>
      <c r="L275" s="698"/>
      <c r="M275" s="698"/>
      <c r="N275" s="192" t="s">
        <v>1264</v>
      </c>
      <c r="O275" s="810">
        <f t="shared" si="108"/>
        <v>41042</v>
      </c>
      <c r="P275" s="810">
        <v>41045</v>
      </c>
      <c r="Q275" s="811" t="s">
        <v>994</v>
      </c>
      <c r="R275" s="304">
        <v>262</v>
      </c>
      <c r="S275" s="252">
        <v>15913</v>
      </c>
      <c r="T275" s="8">
        <f t="shared" si="105"/>
        <v>4169206</v>
      </c>
      <c r="U275" s="452"/>
      <c r="V275" s="812"/>
      <c r="W275" s="840"/>
      <c r="X275" s="840"/>
      <c r="Y275" s="8">
        <f t="shared" si="106"/>
        <v>0</v>
      </c>
    </row>
    <row r="276" spans="1:25">
      <c r="A276" s="835">
        <f t="shared" si="109"/>
        <v>78</v>
      </c>
      <c r="B276" s="297" t="s">
        <v>1199</v>
      </c>
      <c r="C276" s="864">
        <f t="shared" si="111"/>
        <v>274050</v>
      </c>
      <c r="D276" s="797">
        <f t="shared" si="110"/>
        <v>631405.99327126192</v>
      </c>
      <c r="E276" s="797">
        <f t="shared" si="110"/>
        <v>206443.15781237773</v>
      </c>
      <c r="F276" s="797">
        <f t="shared" si="110"/>
        <v>383819.73241530394</v>
      </c>
      <c r="G276" s="797">
        <f t="shared" si="110"/>
        <v>285580.15804710117</v>
      </c>
      <c r="H276" s="797">
        <f t="shared" si="110"/>
        <v>0</v>
      </c>
      <c r="I276" s="836">
        <f t="shared" si="103"/>
        <v>1781299</v>
      </c>
      <c r="J276" s="797">
        <v>1200</v>
      </c>
      <c r="K276" s="797">
        <f t="shared" si="104"/>
        <v>1484.4158333333332</v>
      </c>
      <c r="L276" s="698"/>
      <c r="M276" s="698"/>
      <c r="N276" s="192" t="s">
        <v>767</v>
      </c>
      <c r="O276" s="810">
        <f t="shared" si="108"/>
        <v>41042</v>
      </c>
      <c r="P276" s="810">
        <v>41045</v>
      </c>
      <c r="Q276" s="811" t="s">
        <v>994</v>
      </c>
      <c r="R276" s="304">
        <v>10</v>
      </c>
      <c r="S276" s="255">
        <v>27405</v>
      </c>
      <c r="T276" s="8">
        <f t="shared" si="105"/>
        <v>274050</v>
      </c>
      <c r="U276" s="452"/>
      <c r="V276" s="812"/>
      <c r="W276" s="840"/>
      <c r="X276" s="840"/>
      <c r="Y276" s="8">
        <f t="shared" si="106"/>
        <v>0</v>
      </c>
    </row>
    <row r="277" spans="1:25">
      <c r="A277" s="835">
        <f t="shared" si="109"/>
        <v>79</v>
      </c>
      <c r="B277" s="297" t="s">
        <v>1198</v>
      </c>
      <c r="C277" s="864">
        <f t="shared" si="111"/>
        <v>5269490</v>
      </c>
      <c r="D277" s="797">
        <f t="shared" si="110"/>
        <v>52617.166105938501</v>
      </c>
      <c r="E277" s="797">
        <f t="shared" si="110"/>
        <v>17203.596484364811</v>
      </c>
      <c r="F277" s="797">
        <f t="shared" si="110"/>
        <v>31984.977701275329</v>
      </c>
      <c r="G277" s="797">
        <f t="shared" si="110"/>
        <v>23798.346503925099</v>
      </c>
      <c r="H277" s="797">
        <f t="shared" si="110"/>
        <v>0</v>
      </c>
      <c r="I277" s="836">
        <f t="shared" si="103"/>
        <v>5395094</v>
      </c>
      <c r="J277" s="797">
        <v>100</v>
      </c>
      <c r="K277" s="797">
        <f t="shared" si="104"/>
        <v>53950.94</v>
      </c>
      <c r="L277" s="698"/>
      <c r="M277" s="698"/>
      <c r="N277" s="192" t="s">
        <v>1321</v>
      </c>
      <c r="O277" s="810">
        <f t="shared" si="108"/>
        <v>41044</v>
      </c>
      <c r="P277" s="810">
        <v>41047</v>
      </c>
      <c r="Q277" s="811" t="s">
        <v>995</v>
      </c>
      <c r="R277" s="304">
        <v>170</v>
      </c>
      <c r="S277" s="255">
        <v>30997</v>
      </c>
      <c r="T277" s="8">
        <f t="shared" si="105"/>
        <v>5269490</v>
      </c>
      <c r="U277" s="452"/>
      <c r="V277" s="812"/>
      <c r="W277" s="840"/>
      <c r="X277" s="840"/>
      <c r="Y277" s="8">
        <f t="shared" si="106"/>
        <v>0</v>
      </c>
    </row>
    <row r="278" spans="1:25">
      <c r="A278" s="835">
        <f t="shared" si="109"/>
        <v>80</v>
      </c>
      <c r="B278" s="297" t="s">
        <v>1197</v>
      </c>
      <c r="C278" s="864">
        <f t="shared" si="111"/>
        <v>2172800</v>
      </c>
      <c r="D278" s="797">
        <f t="shared" si="110"/>
        <v>51038.651122760341</v>
      </c>
      <c r="E278" s="797">
        <f t="shared" si="110"/>
        <v>16687.488589833869</v>
      </c>
      <c r="F278" s="797">
        <f t="shared" si="110"/>
        <v>31025.42837023707</v>
      </c>
      <c r="G278" s="797">
        <f t="shared" si="110"/>
        <v>23084.396108807345</v>
      </c>
      <c r="H278" s="797">
        <f t="shared" si="110"/>
        <v>0</v>
      </c>
      <c r="I278" s="836">
        <f t="shared" si="103"/>
        <v>2294636</v>
      </c>
      <c r="J278" s="797">
        <v>97</v>
      </c>
      <c r="K278" s="797">
        <f t="shared" si="104"/>
        <v>23656.041237113401</v>
      </c>
      <c r="L278" s="698"/>
      <c r="M278" s="698"/>
      <c r="N278" s="192" t="s">
        <v>1308</v>
      </c>
      <c r="O278" s="810">
        <f t="shared" si="108"/>
        <v>41044</v>
      </c>
      <c r="P278" s="810">
        <v>41047</v>
      </c>
      <c r="Q278" s="811" t="s">
        <v>995</v>
      </c>
      <c r="R278" s="862">
        <v>100</v>
      </c>
      <c r="S278" s="252">
        <v>21728</v>
      </c>
      <c r="T278" s="8">
        <f t="shared" si="105"/>
        <v>2172800</v>
      </c>
      <c r="U278" s="452"/>
      <c r="V278" s="812"/>
      <c r="W278" s="840"/>
      <c r="X278" s="840"/>
      <c r="Y278" s="8">
        <f t="shared" si="106"/>
        <v>0</v>
      </c>
    </row>
    <row r="279" spans="1:25">
      <c r="A279" s="835">
        <f t="shared" si="109"/>
        <v>81</v>
      </c>
      <c r="B279" s="297" t="s">
        <v>1129</v>
      </c>
      <c r="C279" s="864">
        <f t="shared" si="111"/>
        <v>933200</v>
      </c>
      <c r="D279" s="797">
        <f t="shared" ref="D279:H288" si="112">IF($J$371&lt;&gt;0,D$371/$J$371*$J279,0)</f>
        <v>52617.166105938501</v>
      </c>
      <c r="E279" s="797">
        <f t="shared" si="112"/>
        <v>17203.596484364811</v>
      </c>
      <c r="F279" s="797">
        <f t="shared" si="112"/>
        <v>31984.977701275329</v>
      </c>
      <c r="G279" s="797">
        <f t="shared" si="112"/>
        <v>23798.346503925099</v>
      </c>
      <c r="H279" s="797">
        <f t="shared" si="112"/>
        <v>0</v>
      </c>
      <c r="I279" s="836">
        <f t="shared" si="103"/>
        <v>1058804</v>
      </c>
      <c r="J279" s="797">
        <v>100</v>
      </c>
      <c r="K279" s="797">
        <f t="shared" si="104"/>
        <v>10588.04</v>
      </c>
      <c r="L279" s="698"/>
      <c r="M279" s="698"/>
      <c r="N279" s="192" t="s">
        <v>1293</v>
      </c>
      <c r="O279" s="810">
        <f t="shared" si="108"/>
        <v>41044</v>
      </c>
      <c r="P279" s="810">
        <v>41047</v>
      </c>
      <c r="Q279" s="811" t="s">
        <v>996</v>
      </c>
      <c r="R279" s="862">
        <v>100</v>
      </c>
      <c r="S279" s="252">
        <v>9332</v>
      </c>
      <c r="T279" s="8">
        <f t="shared" si="105"/>
        <v>933200</v>
      </c>
      <c r="U279" s="452"/>
      <c r="V279" s="812"/>
      <c r="W279" s="840"/>
      <c r="X279" s="840"/>
      <c r="Y279" s="8">
        <f t="shared" si="106"/>
        <v>0</v>
      </c>
    </row>
    <row r="280" spans="1:25">
      <c r="A280" s="835">
        <f t="shared" si="109"/>
        <v>82</v>
      </c>
      <c r="B280" s="297" t="s">
        <v>1196</v>
      </c>
      <c r="C280" s="864">
        <f t="shared" si="111"/>
        <v>1559536</v>
      </c>
      <c r="D280" s="797">
        <f t="shared" si="112"/>
        <v>121019.48204365854</v>
      </c>
      <c r="E280" s="797">
        <f t="shared" si="112"/>
        <v>39568.271914039069</v>
      </c>
      <c r="F280" s="797">
        <f t="shared" si="112"/>
        <v>73565.448712933256</v>
      </c>
      <c r="G280" s="797">
        <f t="shared" si="112"/>
        <v>54736.196959027722</v>
      </c>
      <c r="H280" s="797">
        <f t="shared" si="112"/>
        <v>0</v>
      </c>
      <c r="I280" s="836">
        <f t="shared" si="103"/>
        <v>1848425</v>
      </c>
      <c r="J280" s="797">
        <v>230</v>
      </c>
      <c r="K280" s="797">
        <f t="shared" si="104"/>
        <v>8036.630434782609</v>
      </c>
      <c r="L280" s="698"/>
      <c r="M280" s="698"/>
      <c r="N280" s="192" t="s">
        <v>1413</v>
      </c>
      <c r="O280" s="810">
        <f t="shared" si="108"/>
        <v>41044</v>
      </c>
      <c r="P280" s="810">
        <v>41047</v>
      </c>
      <c r="Q280" s="811" t="s">
        <v>996</v>
      </c>
      <c r="R280" s="304">
        <v>88</v>
      </c>
      <c r="S280" s="252">
        <v>17722</v>
      </c>
      <c r="T280" s="8">
        <f t="shared" si="105"/>
        <v>1559536</v>
      </c>
      <c r="U280" s="452"/>
      <c r="V280" s="812"/>
      <c r="W280" s="840"/>
      <c r="X280" s="840"/>
      <c r="Y280" s="8">
        <f t="shared" si="106"/>
        <v>0</v>
      </c>
    </row>
    <row r="281" spans="1:25">
      <c r="A281" s="835">
        <f t="shared" si="109"/>
        <v>83</v>
      </c>
      <c r="B281" s="297" t="s">
        <v>1195</v>
      </c>
      <c r="C281" s="864">
        <f t="shared" si="111"/>
        <v>3534200</v>
      </c>
      <c r="D281" s="797">
        <f t="shared" si="112"/>
        <v>172584.30482747828</v>
      </c>
      <c r="E281" s="797">
        <f t="shared" si="112"/>
        <v>56427.79646871658</v>
      </c>
      <c r="F281" s="797">
        <f t="shared" si="112"/>
        <v>104910.72686018309</v>
      </c>
      <c r="G281" s="797">
        <f t="shared" si="112"/>
        <v>78058.576532874315</v>
      </c>
      <c r="H281" s="797">
        <f t="shared" si="112"/>
        <v>0</v>
      </c>
      <c r="I281" s="836">
        <f t="shared" si="103"/>
        <v>3946181</v>
      </c>
      <c r="J281" s="797">
        <v>328</v>
      </c>
      <c r="K281" s="797">
        <f t="shared" si="104"/>
        <v>12031.039634146342</v>
      </c>
      <c r="L281" s="698"/>
      <c r="M281" s="698"/>
      <c r="N281" s="192" t="s">
        <v>1299</v>
      </c>
      <c r="O281" s="810">
        <f t="shared" si="108"/>
        <v>41044</v>
      </c>
      <c r="P281" s="810">
        <v>41047</v>
      </c>
      <c r="Q281" s="811" t="s">
        <v>996</v>
      </c>
      <c r="R281" s="304">
        <f>J281</f>
        <v>328</v>
      </c>
      <c r="S281" s="255">
        <v>10775</v>
      </c>
      <c r="T281" s="8">
        <f t="shared" si="105"/>
        <v>3534200</v>
      </c>
      <c r="U281" s="452"/>
      <c r="V281" s="812"/>
      <c r="W281" s="840"/>
      <c r="X281" s="840"/>
      <c r="Y281" s="8">
        <f t="shared" si="106"/>
        <v>0</v>
      </c>
    </row>
    <row r="282" spans="1:25">
      <c r="A282" s="835">
        <f t="shared" si="109"/>
        <v>84</v>
      </c>
      <c r="B282" s="297" t="s">
        <v>1195</v>
      </c>
      <c r="C282" s="864">
        <f t="shared" si="111"/>
        <v>7432230</v>
      </c>
      <c r="D282" s="797">
        <f t="shared" si="112"/>
        <v>265716.68883498939</v>
      </c>
      <c r="E282" s="797">
        <f t="shared" si="112"/>
        <v>86878.162246042295</v>
      </c>
      <c r="F282" s="797">
        <f t="shared" si="112"/>
        <v>161524.13739144042</v>
      </c>
      <c r="G282" s="797">
        <f t="shared" si="112"/>
        <v>120181.64984482175</v>
      </c>
      <c r="H282" s="797">
        <f t="shared" si="112"/>
        <v>0</v>
      </c>
      <c r="I282" s="836">
        <f t="shared" si="103"/>
        <v>8066531</v>
      </c>
      <c r="J282" s="797">
        <v>505</v>
      </c>
      <c r="K282" s="797">
        <f t="shared" si="104"/>
        <v>15973.328712871287</v>
      </c>
      <c r="L282" s="698"/>
      <c r="M282" s="698"/>
      <c r="N282" s="192" t="s">
        <v>1392</v>
      </c>
      <c r="O282" s="810">
        <f t="shared" si="108"/>
        <v>41044</v>
      </c>
      <c r="P282" s="810">
        <v>41047</v>
      </c>
      <c r="Q282" s="811" t="s">
        <v>996</v>
      </c>
      <c r="R282" s="304">
        <v>510</v>
      </c>
      <c r="S282" s="255">
        <v>14573</v>
      </c>
      <c r="T282" s="8">
        <f t="shared" si="105"/>
        <v>7432230</v>
      </c>
      <c r="U282" s="452"/>
      <c r="V282" s="812"/>
      <c r="W282" s="840"/>
      <c r="X282" s="840"/>
      <c r="Y282" s="8">
        <f t="shared" si="106"/>
        <v>0</v>
      </c>
    </row>
    <row r="283" spans="1:25">
      <c r="A283" s="835">
        <f t="shared" si="109"/>
        <v>85</v>
      </c>
      <c r="B283" s="297" t="s">
        <v>1194</v>
      </c>
      <c r="C283" s="864">
        <f t="shared" si="111"/>
        <v>778900</v>
      </c>
      <c r="D283" s="797">
        <f t="shared" si="112"/>
        <v>172058.13316641888</v>
      </c>
      <c r="E283" s="797">
        <f t="shared" si="112"/>
        <v>56255.760503872931</v>
      </c>
      <c r="F283" s="797">
        <f t="shared" si="112"/>
        <v>104590.87708317033</v>
      </c>
      <c r="G283" s="797">
        <f t="shared" si="112"/>
        <v>77820.593067835071</v>
      </c>
      <c r="H283" s="797">
        <f t="shared" si="112"/>
        <v>0</v>
      </c>
      <c r="I283" s="836">
        <f t="shared" si="103"/>
        <v>1189625</v>
      </c>
      <c r="J283" s="797">
        <v>327</v>
      </c>
      <c r="K283" s="797">
        <f t="shared" si="104"/>
        <v>3637.9969418960245</v>
      </c>
      <c r="L283" s="698"/>
      <c r="M283" s="698"/>
      <c r="N283" s="192" t="s">
        <v>1393</v>
      </c>
      <c r="O283" s="810">
        <f t="shared" si="108"/>
        <v>41048</v>
      </c>
      <c r="P283" s="810">
        <v>41051</v>
      </c>
      <c r="Q283" s="811" t="s">
        <v>998</v>
      </c>
      <c r="R283" s="304">
        <v>50</v>
      </c>
      <c r="S283" s="255">
        <v>15578</v>
      </c>
      <c r="T283" s="8">
        <f t="shared" si="105"/>
        <v>778900</v>
      </c>
      <c r="U283" s="452"/>
      <c r="V283" s="812"/>
      <c r="W283" s="840"/>
      <c r="X283" s="840"/>
      <c r="Y283" s="8">
        <f t="shared" si="106"/>
        <v>0</v>
      </c>
    </row>
    <row r="284" spans="1:25">
      <c r="A284" s="835">
        <f t="shared" si="109"/>
        <v>86</v>
      </c>
      <c r="B284" s="297" t="s">
        <v>1193</v>
      </c>
      <c r="C284" s="864">
        <f t="shared" si="111"/>
        <v>1378200</v>
      </c>
      <c r="D284" s="797">
        <f t="shared" si="112"/>
        <v>166796.41655582504</v>
      </c>
      <c r="E284" s="797">
        <f t="shared" si="112"/>
        <v>54535.400855436455</v>
      </c>
      <c r="F284" s="797">
        <f t="shared" si="112"/>
        <v>101392.37931304279</v>
      </c>
      <c r="G284" s="797">
        <f t="shared" si="112"/>
        <v>75440.758417442557</v>
      </c>
      <c r="H284" s="797">
        <f t="shared" si="112"/>
        <v>0</v>
      </c>
      <c r="I284" s="836">
        <f t="shared" si="103"/>
        <v>1776365</v>
      </c>
      <c r="J284" s="797">
        <v>317</v>
      </c>
      <c r="K284" s="797">
        <f t="shared" si="104"/>
        <v>5603.6750788643531</v>
      </c>
      <c r="L284" s="698"/>
      <c r="M284" s="698"/>
      <c r="N284" s="192" t="s">
        <v>1383</v>
      </c>
      <c r="O284" s="810">
        <f t="shared" si="108"/>
        <v>41048</v>
      </c>
      <c r="P284" s="810">
        <v>41051</v>
      </c>
      <c r="Q284" s="811" t="s">
        <v>998</v>
      </c>
      <c r="R284" s="304">
        <v>100</v>
      </c>
      <c r="S284" s="255">
        <v>13782</v>
      </c>
      <c r="T284" s="8">
        <f t="shared" si="105"/>
        <v>1378200</v>
      </c>
      <c r="U284" s="452"/>
      <c r="V284" s="812"/>
      <c r="W284" s="840"/>
      <c r="X284" s="840"/>
      <c r="Y284" s="8">
        <f t="shared" si="106"/>
        <v>0</v>
      </c>
    </row>
    <row r="285" spans="1:25">
      <c r="A285" s="835">
        <f t="shared" si="109"/>
        <v>87</v>
      </c>
      <c r="B285" s="297" t="s">
        <v>1192</v>
      </c>
      <c r="C285" s="864">
        <f t="shared" si="111"/>
        <v>11395925</v>
      </c>
      <c r="D285" s="797">
        <f t="shared" si="112"/>
        <v>1073390.1885611454</v>
      </c>
      <c r="E285" s="797">
        <f t="shared" si="112"/>
        <v>350953.36828104215</v>
      </c>
      <c r="F285" s="797">
        <f t="shared" si="112"/>
        <v>652493.54510601668</v>
      </c>
      <c r="G285" s="797">
        <f t="shared" si="112"/>
        <v>485486.26868007198</v>
      </c>
      <c r="H285" s="797">
        <f t="shared" si="112"/>
        <v>0</v>
      </c>
      <c r="I285" s="836">
        <f t="shared" si="103"/>
        <v>13958248</v>
      </c>
      <c r="J285" s="797">
        <v>2040</v>
      </c>
      <c r="K285" s="797">
        <f t="shared" si="104"/>
        <v>6842.2784313725488</v>
      </c>
      <c r="L285" s="698"/>
      <c r="M285" s="698"/>
      <c r="N285" s="192" t="s">
        <v>1394</v>
      </c>
      <c r="O285" s="810">
        <f t="shared" si="108"/>
        <v>41048</v>
      </c>
      <c r="P285" s="810">
        <v>41051</v>
      </c>
      <c r="Q285" s="811" t="s">
        <v>998</v>
      </c>
      <c r="R285" s="304">
        <v>575</v>
      </c>
      <c r="S285" s="842">
        <v>19819</v>
      </c>
      <c r="T285" s="8">
        <f t="shared" si="105"/>
        <v>11395925</v>
      </c>
      <c r="U285" s="452"/>
      <c r="V285" s="812"/>
      <c r="W285" s="840"/>
      <c r="X285" s="840"/>
      <c r="Y285" s="8">
        <f t="shared" si="106"/>
        <v>0</v>
      </c>
    </row>
    <row r="286" spans="1:25">
      <c r="A286" s="835">
        <f t="shared" si="109"/>
        <v>88</v>
      </c>
      <c r="B286" s="297" t="s">
        <v>1191</v>
      </c>
      <c r="C286" s="864">
        <f t="shared" si="111"/>
        <v>3681500</v>
      </c>
      <c r="D286" s="797">
        <f t="shared" si="112"/>
        <v>258876.4572412174</v>
      </c>
      <c r="E286" s="797">
        <f t="shared" si="112"/>
        <v>84641.694703074871</v>
      </c>
      <c r="F286" s="797">
        <f t="shared" si="112"/>
        <v>157366.09029027462</v>
      </c>
      <c r="G286" s="797">
        <f t="shared" si="112"/>
        <v>117087.86479931147</v>
      </c>
      <c r="H286" s="797">
        <f t="shared" si="112"/>
        <v>0</v>
      </c>
      <c r="I286" s="836">
        <f t="shared" si="103"/>
        <v>4299472</v>
      </c>
      <c r="J286" s="797">
        <v>492</v>
      </c>
      <c r="K286" s="797">
        <f t="shared" si="104"/>
        <v>8738.7642276422757</v>
      </c>
      <c r="L286" s="698"/>
      <c r="M286" s="698"/>
      <c r="N286" s="192" t="s">
        <v>1313</v>
      </c>
      <c r="O286" s="810">
        <f t="shared" si="108"/>
        <v>41048</v>
      </c>
      <c r="P286" s="810">
        <v>41051</v>
      </c>
      <c r="Q286" s="811" t="s">
        <v>999</v>
      </c>
      <c r="R286" s="304">
        <v>250</v>
      </c>
      <c r="S286" s="252">
        <v>14726</v>
      </c>
      <c r="T286" s="8">
        <f t="shared" si="105"/>
        <v>3681500</v>
      </c>
      <c r="U286" s="452"/>
      <c r="V286" s="812"/>
      <c r="W286" s="840"/>
      <c r="X286" s="840"/>
      <c r="Y286" s="8">
        <f t="shared" si="106"/>
        <v>0</v>
      </c>
    </row>
    <row r="287" spans="1:25">
      <c r="A287" s="835">
        <f t="shared" si="109"/>
        <v>89</v>
      </c>
      <c r="B287" s="297" t="s">
        <v>1190</v>
      </c>
      <c r="C287" s="864">
        <f t="shared" si="111"/>
        <v>4158000</v>
      </c>
      <c r="D287" s="797">
        <f t="shared" si="112"/>
        <v>263085.83052969247</v>
      </c>
      <c r="E287" s="797">
        <f t="shared" si="112"/>
        <v>86017.982421824054</v>
      </c>
      <c r="F287" s="797">
        <f t="shared" si="112"/>
        <v>159924.88850637665</v>
      </c>
      <c r="G287" s="797">
        <f t="shared" si="112"/>
        <v>118991.73251962548</v>
      </c>
      <c r="H287" s="797">
        <f t="shared" si="112"/>
        <v>0</v>
      </c>
      <c r="I287" s="836">
        <f t="shared" si="103"/>
        <v>4786020</v>
      </c>
      <c r="J287" s="797">
        <v>500</v>
      </c>
      <c r="K287" s="797">
        <f t="shared" si="104"/>
        <v>9572.0400000000009</v>
      </c>
      <c r="L287" s="698"/>
      <c r="M287" s="698"/>
      <c r="N287" s="192" t="s">
        <v>1415</v>
      </c>
      <c r="O287" s="810">
        <f t="shared" si="108"/>
        <v>41048</v>
      </c>
      <c r="P287" s="810">
        <v>41051</v>
      </c>
      <c r="Q287" s="811" t="s">
        <v>999</v>
      </c>
      <c r="R287" s="862">
        <v>500</v>
      </c>
      <c r="S287" s="255">
        <v>8316</v>
      </c>
      <c r="T287" s="8">
        <f t="shared" si="105"/>
        <v>4158000</v>
      </c>
      <c r="U287" s="452"/>
      <c r="V287" s="812"/>
      <c r="W287" s="840"/>
      <c r="X287" s="840"/>
      <c r="Y287" s="8">
        <f t="shared" si="106"/>
        <v>0</v>
      </c>
    </row>
    <row r="288" spans="1:25">
      <c r="A288" s="835">
        <f t="shared" si="109"/>
        <v>90</v>
      </c>
      <c r="B288" s="297" t="s">
        <v>1189</v>
      </c>
      <c r="C288" s="864">
        <f t="shared" si="111"/>
        <v>9153000</v>
      </c>
      <c r="D288" s="797">
        <f t="shared" si="112"/>
        <v>516700.57116031606</v>
      </c>
      <c r="E288" s="797">
        <f t="shared" si="112"/>
        <v>168939.31747646246</v>
      </c>
      <c r="F288" s="797">
        <f t="shared" si="112"/>
        <v>314092.48102652375</v>
      </c>
      <c r="G288" s="797">
        <f t="shared" si="112"/>
        <v>233699.76266854446</v>
      </c>
      <c r="H288" s="797">
        <f t="shared" si="112"/>
        <v>0</v>
      </c>
      <c r="I288" s="836">
        <f t="shared" si="103"/>
        <v>10386432</v>
      </c>
      <c r="J288" s="797">
        <v>982</v>
      </c>
      <c r="K288" s="797">
        <f t="shared" si="104"/>
        <v>10576.81466395112</v>
      </c>
      <c r="L288" s="698"/>
      <c r="M288" s="698"/>
      <c r="N288" s="192" t="s">
        <v>1298</v>
      </c>
      <c r="O288" s="810">
        <f t="shared" si="108"/>
        <v>41048</v>
      </c>
      <c r="P288" s="810">
        <v>41051</v>
      </c>
      <c r="Q288" s="811" t="s">
        <v>999</v>
      </c>
      <c r="R288" s="304">
        <v>500</v>
      </c>
      <c r="S288" s="255">
        <v>18306</v>
      </c>
      <c r="T288" s="8">
        <f t="shared" si="105"/>
        <v>9153000</v>
      </c>
      <c r="U288" s="452"/>
      <c r="V288" s="812"/>
      <c r="W288" s="840"/>
      <c r="X288" s="840"/>
      <c r="Y288" s="8">
        <f t="shared" si="106"/>
        <v>0</v>
      </c>
    </row>
    <row r="289" spans="1:25">
      <c r="A289" s="835">
        <f t="shared" si="109"/>
        <v>91</v>
      </c>
      <c r="B289" s="297" t="s">
        <v>1187</v>
      </c>
      <c r="C289" s="864">
        <f t="shared" si="111"/>
        <v>1389360</v>
      </c>
      <c r="D289" s="797">
        <f t="shared" ref="D289:H298" si="113">IF($J$371&lt;&gt;0,D$371/$J$371*$J289,0)</f>
        <v>157325.32665675611</v>
      </c>
      <c r="E289" s="797">
        <f t="shared" si="113"/>
        <v>51438.75348825079</v>
      </c>
      <c r="F289" s="797">
        <f t="shared" si="113"/>
        <v>95635.083326813241</v>
      </c>
      <c r="G289" s="797">
        <f t="shared" si="113"/>
        <v>71157.056046736034</v>
      </c>
      <c r="H289" s="797">
        <f t="shared" si="113"/>
        <v>0</v>
      </c>
      <c r="I289" s="836">
        <f t="shared" si="103"/>
        <v>1764916</v>
      </c>
      <c r="J289" s="797">
        <v>299</v>
      </c>
      <c r="K289" s="797">
        <f t="shared" si="104"/>
        <v>5902.7290969899668</v>
      </c>
      <c r="L289" s="698"/>
      <c r="M289" s="698"/>
      <c r="N289" s="192" t="s">
        <v>1437</v>
      </c>
      <c r="O289" s="810">
        <f t="shared" si="108"/>
        <v>41050</v>
      </c>
      <c r="P289" s="810">
        <v>41053</v>
      </c>
      <c r="Q289" s="811" t="s">
        <v>1001</v>
      </c>
      <c r="R289" s="304">
        <v>120</v>
      </c>
      <c r="S289" s="255">
        <v>11578</v>
      </c>
      <c r="T289" s="8">
        <f t="shared" si="105"/>
        <v>1389360</v>
      </c>
      <c r="U289" s="452"/>
      <c r="V289" s="812"/>
      <c r="W289" s="840"/>
      <c r="X289" s="840"/>
      <c r="Y289" s="8">
        <f t="shared" si="106"/>
        <v>0</v>
      </c>
    </row>
    <row r="290" spans="1:25">
      <c r="A290" s="835">
        <f t="shared" si="109"/>
        <v>92</v>
      </c>
      <c r="B290" s="297" t="s">
        <v>1188</v>
      </c>
      <c r="C290" s="864">
        <f t="shared" si="111"/>
        <v>1621650</v>
      </c>
      <c r="D290" s="797">
        <f t="shared" si="113"/>
        <v>155746.81167357796</v>
      </c>
      <c r="E290" s="797">
        <f t="shared" si="113"/>
        <v>50922.645593719841</v>
      </c>
      <c r="F290" s="797">
        <f t="shared" si="113"/>
        <v>94675.533995774982</v>
      </c>
      <c r="G290" s="797">
        <f t="shared" si="113"/>
        <v>70443.105651618287</v>
      </c>
      <c r="H290" s="797">
        <f t="shared" si="113"/>
        <v>0</v>
      </c>
      <c r="I290" s="836">
        <f t="shared" si="103"/>
        <v>1993438</v>
      </c>
      <c r="J290" s="797">
        <v>296</v>
      </c>
      <c r="K290" s="797">
        <f t="shared" si="104"/>
        <v>6734.5878378378375</v>
      </c>
      <c r="L290" s="698"/>
      <c r="M290" s="698"/>
      <c r="N290" s="192" t="s">
        <v>1403</v>
      </c>
      <c r="O290" s="810">
        <f t="shared" si="108"/>
        <v>41050</v>
      </c>
      <c r="P290" s="810">
        <v>41053</v>
      </c>
      <c r="Q290" s="811" t="s">
        <v>1001</v>
      </c>
      <c r="R290" s="304">
        <v>150</v>
      </c>
      <c r="S290" s="255">
        <v>10811</v>
      </c>
      <c r="T290" s="8">
        <f t="shared" si="105"/>
        <v>1621650</v>
      </c>
      <c r="U290" s="452"/>
      <c r="V290" s="812"/>
      <c r="W290" s="840"/>
      <c r="X290" s="840"/>
      <c r="Y290" s="8">
        <f t="shared" si="106"/>
        <v>0</v>
      </c>
    </row>
    <row r="291" spans="1:25">
      <c r="A291" s="835">
        <f t="shared" si="109"/>
        <v>93</v>
      </c>
      <c r="B291" s="297" t="s">
        <v>1186</v>
      </c>
      <c r="C291" s="864">
        <f t="shared" si="82"/>
        <v>7912500</v>
      </c>
      <c r="D291" s="797">
        <f t="shared" si="113"/>
        <v>254667.08395274234</v>
      </c>
      <c r="E291" s="797">
        <f t="shared" si="113"/>
        <v>83265.406984325688</v>
      </c>
      <c r="F291" s="797">
        <f t="shared" si="113"/>
        <v>154807.29207417258</v>
      </c>
      <c r="G291" s="797">
        <f t="shared" si="113"/>
        <v>115183.99707899748</v>
      </c>
      <c r="H291" s="797">
        <f t="shared" si="113"/>
        <v>0</v>
      </c>
      <c r="I291" s="836">
        <f t="shared" si="80"/>
        <v>8520424</v>
      </c>
      <c r="J291" s="797">
        <v>484</v>
      </c>
      <c r="K291" s="797">
        <f t="shared" si="92"/>
        <v>17604.18181818182</v>
      </c>
      <c r="L291" s="698"/>
      <c r="M291" s="698"/>
      <c r="N291" s="192" t="s">
        <v>1294</v>
      </c>
      <c r="O291" s="810">
        <f t="shared" si="108"/>
        <v>41050</v>
      </c>
      <c r="P291" s="810">
        <v>41053</v>
      </c>
      <c r="Q291" s="811" t="s">
        <v>1002</v>
      </c>
      <c r="R291" s="304">
        <v>500</v>
      </c>
      <c r="S291" s="255">
        <v>15825</v>
      </c>
      <c r="T291" s="8">
        <f t="shared" si="93"/>
        <v>7912500</v>
      </c>
      <c r="U291" s="452"/>
      <c r="V291" s="812"/>
      <c r="W291" s="840"/>
      <c r="X291" s="840"/>
      <c r="Y291" s="8">
        <f t="shared" si="94"/>
        <v>0</v>
      </c>
    </row>
    <row r="292" spans="1:25">
      <c r="A292" s="835">
        <f t="shared" si="109"/>
        <v>94</v>
      </c>
      <c r="B292" s="297" t="s">
        <v>1185</v>
      </c>
      <c r="C292" s="864">
        <f t="shared" si="82"/>
        <v>16184850</v>
      </c>
      <c r="D292" s="797">
        <f t="shared" si="113"/>
        <v>447245.91190047725</v>
      </c>
      <c r="E292" s="797">
        <f t="shared" si="113"/>
        <v>146230.5701171009</v>
      </c>
      <c r="F292" s="797">
        <f t="shared" si="113"/>
        <v>271872.31046084029</v>
      </c>
      <c r="G292" s="797">
        <f t="shared" si="113"/>
        <v>202285.94528336334</v>
      </c>
      <c r="H292" s="797">
        <f t="shared" si="113"/>
        <v>0</v>
      </c>
      <c r="I292" s="836">
        <f t="shared" si="80"/>
        <v>17252485</v>
      </c>
      <c r="J292" s="797">
        <v>850</v>
      </c>
      <c r="K292" s="797">
        <f t="shared" si="92"/>
        <v>20297.04117647059</v>
      </c>
      <c r="L292" s="698"/>
      <c r="M292" s="698"/>
      <c r="N292" s="192" t="s">
        <v>1396</v>
      </c>
      <c r="O292" s="810">
        <f t="shared" si="108"/>
        <v>41050</v>
      </c>
      <c r="P292" s="810">
        <v>41053</v>
      </c>
      <c r="Q292" s="811" t="s">
        <v>1003</v>
      </c>
      <c r="R292" s="304">
        <f>J292</f>
        <v>850</v>
      </c>
      <c r="S292" s="252">
        <v>19041</v>
      </c>
      <c r="T292" s="8">
        <f t="shared" si="93"/>
        <v>16184850</v>
      </c>
      <c r="U292" s="452"/>
      <c r="V292" s="812"/>
      <c r="W292" s="840"/>
      <c r="X292" s="840"/>
      <c r="Y292" s="8">
        <f t="shared" si="94"/>
        <v>0</v>
      </c>
    </row>
    <row r="293" spans="1:25">
      <c r="A293" s="835">
        <f t="shared" si="109"/>
        <v>95</v>
      </c>
      <c r="B293" s="297" t="s">
        <v>1184</v>
      </c>
      <c r="C293" s="864">
        <f t="shared" si="82"/>
        <v>5397950</v>
      </c>
      <c r="D293" s="797">
        <f t="shared" si="113"/>
        <v>236777.24747672325</v>
      </c>
      <c r="E293" s="797">
        <f t="shared" si="113"/>
        <v>77416.184179641656</v>
      </c>
      <c r="F293" s="797">
        <f t="shared" si="113"/>
        <v>143932.39965573899</v>
      </c>
      <c r="G293" s="797">
        <f t="shared" si="113"/>
        <v>107092.55926766293</v>
      </c>
      <c r="H293" s="797">
        <f t="shared" si="113"/>
        <v>0</v>
      </c>
      <c r="I293" s="836">
        <f t="shared" si="80"/>
        <v>5963168</v>
      </c>
      <c r="J293" s="797">
        <v>450</v>
      </c>
      <c r="K293" s="797">
        <f t="shared" si="92"/>
        <v>13251.484444444444</v>
      </c>
      <c r="L293" s="698"/>
      <c r="M293" s="698"/>
      <c r="N293" s="189" t="s">
        <v>1288</v>
      </c>
      <c r="O293" s="810">
        <f t="shared" si="108"/>
        <v>41050</v>
      </c>
      <c r="P293" s="810">
        <v>41053</v>
      </c>
      <c r="Q293" s="811" t="s">
        <v>1003</v>
      </c>
      <c r="R293" s="304">
        <f>J293</f>
        <v>450</v>
      </c>
      <c r="S293" s="252">
        <v>11995.444444444445</v>
      </c>
      <c r="T293" s="8">
        <f t="shared" si="93"/>
        <v>5397950</v>
      </c>
      <c r="U293" s="452"/>
      <c r="V293" s="812"/>
      <c r="W293" s="840"/>
      <c r="X293" s="840"/>
      <c r="Y293" s="8">
        <f t="shared" si="94"/>
        <v>0</v>
      </c>
    </row>
    <row r="294" spans="1:25">
      <c r="A294" s="835">
        <f t="shared" si="109"/>
        <v>96</v>
      </c>
      <c r="B294" s="297" t="s">
        <v>1183</v>
      </c>
      <c r="C294" s="864">
        <f t="shared" si="82"/>
        <v>9071765.2006056011</v>
      </c>
      <c r="D294" s="797">
        <f t="shared" si="113"/>
        <v>236777.24747672325</v>
      </c>
      <c r="E294" s="797">
        <f t="shared" si="113"/>
        <v>77416.184179641656</v>
      </c>
      <c r="F294" s="797">
        <f t="shared" si="113"/>
        <v>143932.39965573899</v>
      </c>
      <c r="G294" s="797">
        <f t="shared" si="113"/>
        <v>107092.55926766293</v>
      </c>
      <c r="H294" s="797">
        <f t="shared" si="113"/>
        <v>0</v>
      </c>
      <c r="I294" s="836">
        <f t="shared" si="80"/>
        <v>9636984</v>
      </c>
      <c r="J294" s="797">
        <v>450</v>
      </c>
      <c r="K294" s="797">
        <f t="shared" si="92"/>
        <v>21415.52</v>
      </c>
      <c r="L294" s="698"/>
      <c r="M294" s="698"/>
      <c r="N294" s="189" t="s">
        <v>1371</v>
      </c>
      <c r="O294" s="810">
        <f t="shared" si="108"/>
        <v>41050</v>
      </c>
      <c r="P294" s="810">
        <v>41053</v>
      </c>
      <c r="Q294" s="811" t="s">
        <v>1003</v>
      </c>
      <c r="R294" s="304">
        <v>455</v>
      </c>
      <c r="S294" s="255">
        <v>19937.945495836488</v>
      </c>
      <c r="T294" s="8">
        <f t="shared" si="93"/>
        <v>9071765.2006056011</v>
      </c>
      <c r="U294" s="452"/>
      <c r="V294" s="812"/>
      <c r="W294" s="840"/>
      <c r="X294" s="840"/>
      <c r="Y294" s="8">
        <f t="shared" si="94"/>
        <v>0</v>
      </c>
    </row>
    <row r="295" spans="1:25">
      <c r="A295" s="835">
        <f t="shared" si="109"/>
        <v>97</v>
      </c>
      <c r="B295" s="297" t="s">
        <v>1170</v>
      </c>
      <c r="C295" s="864">
        <f t="shared" si="82"/>
        <v>5723500</v>
      </c>
      <c r="D295" s="797">
        <f t="shared" si="113"/>
        <v>526171.66105938493</v>
      </c>
      <c r="E295" s="797">
        <f t="shared" si="113"/>
        <v>172035.96484364811</v>
      </c>
      <c r="F295" s="797">
        <f t="shared" si="113"/>
        <v>319849.7770127533</v>
      </c>
      <c r="G295" s="797">
        <f t="shared" si="113"/>
        <v>237983.46503925096</v>
      </c>
      <c r="H295" s="797">
        <f t="shared" si="113"/>
        <v>0</v>
      </c>
      <c r="I295" s="836">
        <f t="shared" si="80"/>
        <v>6979541</v>
      </c>
      <c r="J295" s="797">
        <v>1000</v>
      </c>
      <c r="K295" s="797">
        <f t="shared" si="92"/>
        <v>6979.5410000000002</v>
      </c>
      <c r="L295" s="698"/>
      <c r="M295" s="698"/>
      <c r="N295" s="192" t="s">
        <v>1449</v>
      </c>
      <c r="O295" s="810">
        <f t="shared" si="108"/>
        <v>41056</v>
      </c>
      <c r="P295" s="810">
        <v>41059</v>
      </c>
      <c r="Q295" s="811" t="s">
        <v>1009</v>
      </c>
      <c r="R295" s="304">
        <v>500</v>
      </c>
      <c r="S295" s="255">
        <v>11447</v>
      </c>
      <c r="T295" s="8">
        <f t="shared" si="93"/>
        <v>5723500</v>
      </c>
      <c r="U295" s="452"/>
      <c r="V295" s="812"/>
      <c r="W295" s="840"/>
      <c r="X295" s="840"/>
      <c r="Y295" s="8">
        <f t="shared" si="94"/>
        <v>0</v>
      </c>
    </row>
    <row r="296" spans="1:25">
      <c r="A296" s="835">
        <f t="shared" si="109"/>
        <v>98</v>
      </c>
      <c r="B296" s="297" t="s">
        <v>1181</v>
      </c>
      <c r="C296" s="864">
        <f t="shared" si="82"/>
        <v>5292000</v>
      </c>
      <c r="D296" s="797">
        <f t="shared" si="113"/>
        <v>520909.9444487911</v>
      </c>
      <c r="E296" s="797">
        <f t="shared" si="113"/>
        <v>170315.60519521162</v>
      </c>
      <c r="F296" s="797">
        <f t="shared" si="113"/>
        <v>316651.27924262575</v>
      </c>
      <c r="G296" s="797">
        <f t="shared" si="113"/>
        <v>235603.63038885847</v>
      </c>
      <c r="H296" s="797">
        <f t="shared" si="113"/>
        <v>0</v>
      </c>
      <c r="I296" s="836">
        <f t="shared" si="80"/>
        <v>6535480</v>
      </c>
      <c r="J296" s="797">
        <v>990</v>
      </c>
      <c r="K296" s="797">
        <f t="shared" si="92"/>
        <v>6601.4949494949497</v>
      </c>
      <c r="L296" s="698"/>
      <c r="M296" s="698"/>
      <c r="N296" s="192" t="s">
        <v>1430</v>
      </c>
      <c r="O296" s="810">
        <f t="shared" si="108"/>
        <v>41056</v>
      </c>
      <c r="P296" s="810">
        <v>41059</v>
      </c>
      <c r="Q296" s="811" t="s">
        <v>1009</v>
      </c>
      <c r="R296" s="304">
        <v>500</v>
      </c>
      <c r="S296" s="252">
        <v>10584</v>
      </c>
      <c r="T296" s="8">
        <f t="shared" si="93"/>
        <v>5292000</v>
      </c>
      <c r="U296" s="452"/>
      <c r="V296" s="812"/>
      <c r="W296" s="840"/>
      <c r="X296" s="840"/>
      <c r="Y296" s="8">
        <f t="shared" si="94"/>
        <v>0</v>
      </c>
    </row>
    <row r="297" spans="1:25">
      <c r="A297" s="835">
        <f t="shared" si="109"/>
        <v>99</v>
      </c>
      <c r="B297" s="297" t="s">
        <v>1499</v>
      </c>
      <c r="C297" s="864">
        <f t="shared" si="82"/>
        <v>4513.3653846153848</v>
      </c>
      <c r="D297" s="797">
        <f t="shared" si="113"/>
        <v>526.17166105938497</v>
      </c>
      <c r="E297" s="797">
        <f t="shared" si="113"/>
        <v>172.03596484364812</v>
      </c>
      <c r="F297" s="797">
        <f t="shared" si="113"/>
        <v>319.84977701275329</v>
      </c>
      <c r="G297" s="797">
        <f t="shared" si="113"/>
        <v>237.98346503925097</v>
      </c>
      <c r="H297" s="797">
        <f t="shared" si="113"/>
        <v>0</v>
      </c>
      <c r="I297" s="836">
        <f t="shared" si="80"/>
        <v>5769</v>
      </c>
      <c r="J297" s="797">
        <v>1</v>
      </c>
      <c r="K297" s="797">
        <f t="shared" si="92"/>
        <v>5769</v>
      </c>
      <c r="L297" s="698"/>
      <c r="M297" s="698"/>
      <c r="N297" s="192" t="s">
        <v>1385</v>
      </c>
      <c r="O297" s="810">
        <f t="shared" si="108"/>
        <v>41056</v>
      </c>
      <c r="P297" s="810">
        <v>41059</v>
      </c>
      <c r="Q297" s="811" t="s">
        <v>1010</v>
      </c>
      <c r="R297" s="862">
        <v>0.5</v>
      </c>
      <c r="S297" s="255">
        <v>9026.7307692307695</v>
      </c>
      <c r="T297" s="8">
        <f t="shared" si="93"/>
        <v>4513.3653846153848</v>
      </c>
      <c r="U297" s="452"/>
      <c r="V297" s="812"/>
      <c r="W297" s="840"/>
      <c r="X297" s="840"/>
      <c r="Y297" s="8">
        <f t="shared" si="94"/>
        <v>0</v>
      </c>
    </row>
    <row r="298" spans="1:25">
      <c r="A298" s="835">
        <f t="shared" si="109"/>
        <v>100</v>
      </c>
      <c r="B298" s="297" t="s">
        <v>1533</v>
      </c>
      <c r="C298" s="864">
        <f t="shared" si="82"/>
        <v>4513.3653846153848</v>
      </c>
      <c r="D298" s="797">
        <f t="shared" si="113"/>
        <v>526.17166105938497</v>
      </c>
      <c r="E298" s="797">
        <f t="shared" si="113"/>
        <v>172.03596484364812</v>
      </c>
      <c r="F298" s="797">
        <f t="shared" si="113"/>
        <v>319.84977701275329</v>
      </c>
      <c r="G298" s="797">
        <f t="shared" si="113"/>
        <v>237.98346503925097</v>
      </c>
      <c r="H298" s="797">
        <f t="shared" si="113"/>
        <v>0</v>
      </c>
      <c r="I298" s="836">
        <f t="shared" si="80"/>
        <v>5769</v>
      </c>
      <c r="J298" s="797">
        <v>1</v>
      </c>
      <c r="K298" s="797">
        <f t="shared" si="92"/>
        <v>5769</v>
      </c>
      <c r="L298" s="698"/>
      <c r="M298" s="698"/>
      <c r="N298" s="192" t="s">
        <v>1385</v>
      </c>
      <c r="O298" s="810">
        <f t="shared" si="108"/>
        <v>41056</v>
      </c>
      <c r="P298" s="810">
        <v>41059</v>
      </c>
      <c r="Q298" s="811" t="s">
        <v>1010</v>
      </c>
      <c r="R298" s="304">
        <v>0.5</v>
      </c>
      <c r="S298" s="255">
        <v>9026.7307692307695</v>
      </c>
      <c r="T298" s="8">
        <f t="shared" si="93"/>
        <v>4513.3653846153848</v>
      </c>
      <c r="U298" s="452"/>
      <c r="V298" s="812"/>
      <c r="W298" s="840"/>
      <c r="X298" s="840"/>
      <c r="Y298" s="8">
        <f t="shared" si="94"/>
        <v>0</v>
      </c>
    </row>
    <row r="299" spans="1:25">
      <c r="A299" s="835">
        <f t="shared" si="109"/>
        <v>101</v>
      </c>
      <c r="B299" s="297" t="s">
        <v>1497</v>
      </c>
      <c r="C299" s="864">
        <f t="shared" si="82"/>
        <v>9026.75</v>
      </c>
      <c r="D299" s="797">
        <f t="shared" ref="D299:H308" si="114">IF($J$371&lt;&gt;0,D$371/$J$371*$J299,0)</f>
        <v>526.17166105938497</v>
      </c>
      <c r="E299" s="797">
        <f t="shared" si="114"/>
        <v>172.03596484364812</v>
      </c>
      <c r="F299" s="797">
        <f t="shared" si="114"/>
        <v>319.84977701275329</v>
      </c>
      <c r="G299" s="797">
        <f t="shared" si="114"/>
        <v>237.98346503925097</v>
      </c>
      <c r="H299" s="797">
        <f t="shared" si="114"/>
        <v>0</v>
      </c>
      <c r="I299" s="836">
        <f t="shared" si="80"/>
        <v>10283</v>
      </c>
      <c r="J299" s="797">
        <v>1</v>
      </c>
      <c r="K299" s="797">
        <f t="shared" si="92"/>
        <v>10283</v>
      </c>
      <c r="L299" s="698"/>
      <c r="M299" s="698"/>
      <c r="N299" s="192" t="s">
        <v>1385</v>
      </c>
      <c r="O299" s="810">
        <f t="shared" si="108"/>
        <v>41056</v>
      </c>
      <c r="P299" s="810">
        <v>41059</v>
      </c>
      <c r="Q299" s="811" t="s">
        <v>1010</v>
      </c>
      <c r="R299" s="304">
        <v>1</v>
      </c>
      <c r="S299" s="255">
        <v>9026.75</v>
      </c>
      <c r="T299" s="8">
        <f t="shared" si="93"/>
        <v>9026.75</v>
      </c>
      <c r="U299" s="452"/>
      <c r="V299" s="812"/>
      <c r="W299" s="840"/>
      <c r="X299" s="840"/>
      <c r="Y299" s="8">
        <f t="shared" si="94"/>
        <v>0</v>
      </c>
    </row>
    <row r="300" spans="1:25">
      <c r="A300" s="835">
        <f t="shared" si="109"/>
        <v>102</v>
      </c>
      <c r="B300" s="297" t="s">
        <v>1501</v>
      </c>
      <c r="C300" s="864">
        <f t="shared" si="82"/>
        <v>9026.75</v>
      </c>
      <c r="D300" s="797">
        <f t="shared" si="114"/>
        <v>526.17166105938497</v>
      </c>
      <c r="E300" s="797">
        <f t="shared" si="114"/>
        <v>172.03596484364812</v>
      </c>
      <c r="F300" s="797">
        <f t="shared" si="114"/>
        <v>319.84977701275329</v>
      </c>
      <c r="G300" s="797">
        <f t="shared" si="114"/>
        <v>237.98346503925097</v>
      </c>
      <c r="H300" s="797">
        <f t="shared" si="114"/>
        <v>0</v>
      </c>
      <c r="I300" s="836">
        <f t="shared" si="80"/>
        <v>10283</v>
      </c>
      <c r="J300" s="797">
        <v>1</v>
      </c>
      <c r="K300" s="797">
        <f t="shared" si="92"/>
        <v>10283</v>
      </c>
      <c r="L300" s="698"/>
      <c r="M300" s="698"/>
      <c r="N300" s="192" t="s">
        <v>1385</v>
      </c>
      <c r="O300" s="810">
        <f t="shared" si="108"/>
        <v>41056</v>
      </c>
      <c r="P300" s="810">
        <v>41059</v>
      </c>
      <c r="Q300" s="811" t="s">
        <v>1010</v>
      </c>
      <c r="R300" s="304">
        <v>1</v>
      </c>
      <c r="S300" s="255">
        <v>9026.75</v>
      </c>
      <c r="T300" s="8">
        <f t="shared" si="93"/>
        <v>9026.75</v>
      </c>
      <c r="U300" s="452"/>
      <c r="V300" s="812"/>
      <c r="W300" s="840"/>
      <c r="X300" s="840"/>
      <c r="Y300" s="8">
        <f t="shared" si="94"/>
        <v>0</v>
      </c>
    </row>
    <row r="301" spans="1:25">
      <c r="A301" s="835">
        <f t="shared" si="109"/>
        <v>103</v>
      </c>
      <c r="B301" s="297" t="s">
        <v>1534</v>
      </c>
      <c r="C301" s="864">
        <f t="shared" si="82"/>
        <v>9026.7307692307695</v>
      </c>
      <c r="D301" s="797">
        <f t="shared" si="114"/>
        <v>526.17166105938497</v>
      </c>
      <c r="E301" s="797">
        <f t="shared" si="114"/>
        <v>172.03596484364812</v>
      </c>
      <c r="F301" s="797">
        <f t="shared" si="114"/>
        <v>319.84977701275329</v>
      </c>
      <c r="G301" s="797">
        <f t="shared" si="114"/>
        <v>237.98346503925097</v>
      </c>
      <c r="H301" s="797">
        <f t="shared" si="114"/>
        <v>0</v>
      </c>
      <c r="I301" s="836">
        <f t="shared" si="80"/>
        <v>10283</v>
      </c>
      <c r="J301" s="797">
        <v>1</v>
      </c>
      <c r="K301" s="797">
        <f t="shared" si="92"/>
        <v>10283</v>
      </c>
      <c r="L301" s="698"/>
      <c r="M301" s="698"/>
      <c r="N301" s="192" t="s">
        <v>1385</v>
      </c>
      <c r="O301" s="810">
        <f t="shared" si="108"/>
        <v>41056</v>
      </c>
      <c r="P301" s="810">
        <v>41059</v>
      </c>
      <c r="Q301" s="811" t="s">
        <v>1010</v>
      </c>
      <c r="R301" s="304">
        <v>1</v>
      </c>
      <c r="S301" s="255">
        <v>9026.7307692307695</v>
      </c>
      <c r="T301" s="8">
        <f t="shared" si="93"/>
        <v>9026.7307692307695</v>
      </c>
      <c r="U301" s="452"/>
      <c r="V301" s="812"/>
      <c r="W301" s="840"/>
      <c r="X301" s="840"/>
      <c r="Y301" s="8">
        <f t="shared" si="94"/>
        <v>0</v>
      </c>
    </row>
    <row r="302" spans="1:25">
      <c r="A302" s="835">
        <f t="shared" si="109"/>
        <v>104</v>
      </c>
      <c r="B302" s="297" t="s">
        <v>1536</v>
      </c>
      <c r="C302" s="864">
        <f t="shared" si="82"/>
        <v>9026.7307692307695</v>
      </c>
      <c r="D302" s="797">
        <f t="shared" si="114"/>
        <v>526.17166105938497</v>
      </c>
      <c r="E302" s="797">
        <f t="shared" si="114"/>
        <v>172.03596484364812</v>
      </c>
      <c r="F302" s="797">
        <f t="shared" si="114"/>
        <v>319.84977701275329</v>
      </c>
      <c r="G302" s="797">
        <f t="shared" si="114"/>
        <v>237.98346503925097</v>
      </c>
      <c r="H302" s="797">
        <f t="shared" si="114"/>
        <v>0</v>
      </c>
      <c r="I302" s="836">
        <f t="shared" si="80"/>
        <v>10283</v>
      </c>
      <c r="J302" s="797">
        <v>1</v>
      </c>
      <c r="K302" s="797">
        <f t="shared" si="92"/>
        <v>10283</v>
      </c>
      <c r="L302" s="698"/>
      <c r="M302" s="698"/>
      <c r="N302" s="192" t="s">
        <v>1385</v>
      </c>
      <c r="O302" s="810">
        <f t="shared" si="108"/>
        <v>41056</v>
      </c>
      <c r="P302" s="810">
        <v>41059</v>
      </c>
      <c r="Q302" s="811" t="s">
        <v>1010</v>
      </c>
      <c r="R302" s="304">
        <v>1</v>
      </c>
      <c r="S302" s="255">
        <v>9026.7307692307695</v>
      </c>
      <c r="T302" s="8">
        <f t="shared" si="93"/>
        <v>9026.7307692307695</v>
      </c>
      <c r="U302" s="452"/>
      <c r="V302" s="812"/>
      <c r="W302" s="840"/>
      <c r="X302" s="840"/>
      <c r="Y302" s="8">
        <f t="shared" si="94"/>
        <v>0</v>
      </c>
    </row>
    <row r="303" spans="1:25">
      <c r="A303" s="835">
        <f t="shared" si="109"/>
        <v>105</v>
      </c>
      <c r="B303" s="297" t="s">
        <v>1539</v>
      </c>
      <c r="C303" s="864">
        <f t="shared" si="82"/>
        <v>9026.75</v>
      </c>
      <c r="D303" s="797">
        <f t="shared" si="114"/>
        <v>526.17166105938497</v>
      </c>
      <c r="E303" s="797">
        <f t="shared" si="114"/>
        <v>172.03596484364812</v>
      </c>
      <c r="F303" s="797">
        <f t="shared" si="114"/>
        <v>319.84977701275329</v>
      </c>
      <c r="G303" s="797">
        <f t="shared" si="114"/>
        <v>237.98346503925097</v>
      </c>
      <c r="H303" s="797">
        <f t="shared" si="114"/>
        <v>0</v>
      </c>
      <c r="I303" s="836">
        <f t="shared" si="80"/>
        <v>10283</v>
      </c>
      <c r="J303" s="797">
        <v>1</v>
      </c>
      <c r="K303" s="797">
        <f t="shared" si="92"/>
        <v>10283</v>
      </c>
      <c r="L303" s="698"/>
      <c r="M303" s="698"/>
      <c r="N303" s="192" t="s">
        <v>1385</v>
      </c>
      <c r="O303" s="810">
        <f t="shared" si="108"/>
        <v>41056</v>
      </c>
      <c r="P303" s="810">
        <v>41059</v>
      </c>
      <c r="Q303" s="811" t="s">
        <v>1010</v>
      </c>
      <c r="R303" s="304">
        <v>1</v>
      </c>
      <c r="S303" s="255">
        <v>9026.75</v>
      </c>
      <c r="T303" s="8">
        <f t="shared" si="93"/>
        <v>9026.75</v>
      </c>
      <c r="U303" s="452"/>
      <c r="V303" s="812"/>
      <c r="W303" s="840"/>
      <c r="X303" s="840"/>
      <c r="Y303" s="8">
        <f t="shared" si="94"/>
        <v>0</v>
      </c>
    </row>
    <row r="304" spans="1:25">
      <c r="A304" s="835">
        <f t="shared" si="109"/>
        <v>106</v>
      </c>
      <c r="B304" s="297" t="s">
        <v>1527</v>
      </c>
      <c r="C304" s="864">
        <f>T304</f>
        <v>9026.7307692307695</v>
      </c>
      <c r="D304" s="797">
        <f t="shared" si="114"/>
        <v>526.17166105938497</v>
      </c>
      <c r="E304" s="797">
        <f t="shared" si="114"/>
        <v>172.03596484364812</v>
      </c>
      <c r="F304" s="797">
        <f t="shared" si="114"/>
        <v>319.84977701275329</v>
      </c>
      <c r="G304" s="797">
        <f t="shared" si="114"/>
        <v>237.98346503925097</v>
      </c>
      <c r="H304" s="797">
        <f t="shared" si="114"/>
        <v>0</v>
      </c>
      <c r="I304" s="836">
        <f t="shared" si="80"/>
        <v>10283</v>
      </c>
      <c r="J304" s="797">
        <v>1</v>
      </c>
      <c r="K304" s="797">
        <f t="shared" si="92"/>
        <v>10283</v>
      </c>
      <c r="L304" s="698"/>
      <c r="M304" s="698"/>
      <c r="N304" s="192" t="s">
        <v>1385</v>
      </c>
      <c r="O304" s="810">
        <f t="shared" si="108"/>
        <v>41056</v>
      </c>
      <c r="P304" s="810">
        <v>41059</v>
      </c>
      <c r="Q304" s="811" t="s">
        <v>1010</v>
      </c>
      <c r="R304" s="304">
        <v>1</v>
      </c>
      <c r="S304" s="255">
        <v>9026.7307692307695</v>
      </c>
      <c r="T304" s="8">
        <f t="shared" si="93"/>
        <v>9026.7307692307695</v>
      </c>
      <c r="U304" s="452"/>
      <c r="V304" s="812"/>
      <c r="W304" s="840"/>
      <c r="X304" s="840"/>
      <c r="Y304" s="8">
        <f t="shared" si="94"/>
        <v>0</v>
      </c>
    </row>
    <row r="305" spans="1:25">
      <c r="A305" s="835">
        <f t="shared" si="109"/>
        <v>107</v>
      </c>
      <c r="B305" s="297" t="s">
        <v>1527</v>
      </c>
      <c r="C305" s="864">
        <f>T305</f>
        <v>26790</v>
      </c>
      <c r="D305" s="797">
        <f t="shared" si="114"/>
        <v>1578.514983178155</v>
      </c>
      <c r="E305" s="797">
        <f t="shared" si="114"/>
        <v>516.10789453094435</v>
      </c>
      <c r="F305" s="797">
        <f t="shared" si="114"/>
        <v>959.54933103825988</v>
      </c>
      <c r="G305" s="797">
        <f t="shared" si="114"/>
        <v>713.95039511775292</v>
      </c>
      <c r="H305" s="797">
        <f t="shared" si="114"/>
        <v>0</v>
      </c>
      <c r="I305" s="836">
        <f t="shared" si="80"/>
        <v>30558</v>
      </c>
      <c r="J305" s="797">
        <v>3</v>
      </c>
      <c r="K305" s="797">
        <f t="shared" si="92"/>
        <v>10186</v>
      </c>
      <c r="L305" s="698"/>
      <c r="M305" s="698"/>
      <c r="N305" s="192" t="s">
        <v>755</v>
      </c>
      <c r="O305" s="810">
        <f t="shared" si="108"/>
        <v>41056</v>
      </c>
      <c r="P305" s="810">
        <v>41059</v>
      </c>
      <c r="Q305" s="811" t="s">
        <v>1010</v>
      </c>
      <c r="R305" s="304">
        <v>3</v>
      </c>
      <c r="S305" s="255">
        <v>8930</v>
      </c>
      <c r="T305" s="8">
        <f t="shared" si="93"/>
        <v>26790</v>
      </c>
      <c r="U305" s="452"/>
      <c r="V305" s="812"/>
      <c r="W305" s="840"/>
      <c r="X305" s="840"/>
      <c r="Y305" s="8">
        <f t="shared" si="94"/>
        <v>0</v>
      </c>
    </row>
    <row r="306" spans="1:25">
      <c r="A306" s="835">
        <f t="shared" si="109"/>
        <v>108</v>
      </c>
      <c r="B306" s="297" t="s">
        <v>1503</v>
      </c>
      <c r="C306" s="864">
        <f>T306</f>
        <v>9026.75</v>
      </c>
      <c r="D306" s="797">
        <f t="shared" si="114"/>
        <v>526.17166105938497</v>
      </c>
      <c r="E306" s="797">
        <f t="shared" si="114"/>
        <v>172.03596484364812</v>
      </c>
      <c r="F306" s="797">
        <f t="shared" si="114"/>
        <v>319.84977701275329</v>
      </c>
      <c r="G306" s="797">
        <f t="shared" si="114"/>
        <v>237.98346503925097</v>
      </c>
      <c r="H306" s="797">
        <f t="shared" si="114"/>
        <v>0</v>
      </c>
      <c r="I306" s="836">
        <f t="shared" si="80"/>
        <v>10283</v>
      </c>
      <c r="J306" s="797">
        <v>1</v>
      </c>
      <c r="K306" s="797">
        <f t="shared" si="92"/>
        <v>10283</v>
      </c>
      <c r="L306" s="698"/>
      <c r="M306" s="698"/>
      <c r="N306" s="192" t="s">
        <v>1385</v>
      </c>
      <c r="O306" s="810">
        <f t="shared" si="108"/>
        <v>41056</v>
      </c>
      <c r="P306" s="810">
        <v>41059</v>
      </c>
      <c r="Q306" s="811" t="s">
        <v>1010</v>
      </c>
      <c r="R306" s="304">
        <v>1</v>
      </c>
      <c r="S306" s="255">
        <v>9026.75</v>
      </c>
      <c r="T306" s="8">
        <f t="shared" si="93"/>
        <v>9026.75</v>
      </c>
      <c r="U306" s="452"/>
      <c r="V306" s="812"/>
      <c r="W306" s="840"/>
      <c r="X306" s="840"/>
      <c r="Y306" s="8">
        <f t="shared" si="94"/>
        <v>0</v>
      </c>
    </row>
    <row r="307" spans="1:25">
      <c r="A307" s="835">
        <f t="shared" si="109"/>
        <v>109</v>
      </c>
      <c r="B307" s="297" t="s">
        <v>1512</v>
      </c>
      <c r="C307" s="864">
        <f>T307</f>
        <v>204437.33333333331</v>
      </c>
      <c r="D307" s="797">
        <f t="shared" si="114"/>
        <v>13680.46318754401</v>
      </c>
      <c r="E307" s="797">
        <f t="shared" si="114"/>
        <v>4472.9350859348506</v>
      </c>
      <c r="F307" s="797">
        <f t="shared" si="114"/>
        <v>8316.0942023315856</v>
      </c>
      <c r="G307" s="797">
        <f t="shared" si="114"/>
        <v>6187.5700910205251</v>
      </c>
      <c r="H307" s="797">
        <f t="shared" si="114"/>
        <v>0</v>
      </c>
      <c r="I307" s="836">
        <f t="shared" si="80"/>
        <v>237094</v>
      </c>
      <c r="J307" s="797">
        <v>26</v>
      </c>
      <c r="K307" s="797">
        <f t="shared" si="92"/>
        <v>9119</v>
      </c>
      <c r="L307" s="698"/>
      <c r="M307" s="698"/>
      <c r="N307" s="192" t="s">
        <v>1421</v>
      </c>
      <c r="O307" s="810">
        <f t="shared" si="108"/>
        <v>41056</v>
      </c>
      <c r="P307" s="810">
        <v>41059</v>
      </c>
      <c r="Q307" s="811" t="s">
        <v>1010</v>
      </c>
      <c r="R307" s="304">
        <v>14</v>
      </c>
      <c r="S307" s="255">
        <v>14602.666666666666</v>
      </c>
      <c r="T307" s="8">
        <f t="shared" si="93"/>
        <v>204437.33333333331</v>
      </c>
      <c r="U307" s="452"/>
      <c r="V307" s="812"/>
      <c r="W307" s="840"/>
      <c r="X307" s="840"/>
      <c r="Y307" s="8">
        <f t="shared" si="94"/>
        <v>0</v>
      </c>
    </row>
    <row r="308" spans="1:25">
      <c r="A308" s="835">
        <f t="shared" si="109"/>
        <v>110</v>
      </c>
      <c r="B308" s="297" t="s">
        <v>1515</v>
      </c>
      <c r="C308" s="864">
        <f>T308</f>
        <v>21550</v>
      </c>
      <c r="D308" s="797">
        <f t="shared" si="114"/>
        <v>1052.3433221187699</v>
      </c>
      <c r="E308" s="797">
        <f t="shared" si="114"/>
        <v>344.07192968729623</v>
      </c>
      <c r="F308" s="797">
        <f t="shared" si="114"/>
        <v>639.69955402550659</v>
      </c>
      <c r="G308" s="797">
        <f t="shared" si="114"/>
        <v>475.96693007850195</v>
      </c>
      <c r="H308" s="797">
        <f t="shared" si="114"/>
        <v>0</v>
      </c>
      <c r="I308" s="836">
        <f t="shared" si="80"/>
        <v>24062</v>
      </c>
      <c r="J308" s="797">
        <v>2</v>
      </c>
      <c r="K308" s="797">
        <f t="shared" si="92"/>
        <v>12031</v>
      </c>
      <c r="L308" s="848"/>
      <c r="M308" s="698"/>
      <c r="N308" s="192" t="s">
        <v>1299</v>
      </c>
      <c r="O308" s="810">
        <f t="shared" si="108"/>
        <v>41056</v>
      </c>
      <c r="P308" s="810">
        <v>41059</v>
      </c>
      <c r="Q308" s="811" t="s">
        <v>1010</v>
      </c>
      <c r="R308" s="304">
        <f t="shared" ref="R308" si="115">J308</f>
        <v>2</v>
      </c>
      <c r="S308" s="255">
        <v>10775</v>
      </c>
      <c r="T308" s="8">
        <f t="shared" si="93"/>
        <v>21550</v>
      </c>
      <c r="U308" s="452"/>
      <c r="V308" s="812"/>
      <c r="W308" s="840"/>
      <c r="X308" s="840"/>
      <c r="Y308" s="8">
        <f t="shared" si="94"/>
        <v>0</v>
      </c>
    </row>
    <row r="309" spans="1:25">
      <c r="A309" s="835">
        <f t="shared" si="109"/>
        <v>111</v>
      </c>
      <c r="B309" s="297" t="s">
        <v>1540</v>
      </c>
      <c r="C309" s="864">
        <f t="shared" ref="C309:C329" si="116">T309</f>
        <v>9420</v>
      </c>
      <c r="D309" s="797">
        <f t="shared" ref="D309:H318" si="117">IF($J$371&lt;&gt;0,D$371/$J$371*$J309,0)</f>
        <v>526.17166105938497</v>
      </c>
      <c r="E309" s="797">
        <f t="shared" si="117"/>
        <v>172.03596484364812</v>
      </c>
      <c r="F309" s="797">
        <f t="shared" si="117"/>
        <v>319.84977701275329</v>
      </c>
      <c r="G309" s="797">
        <f t="shared" si="117"/>
        <v>237.98346503925097</v>
      </c>
      <c r="H309" s="797">
        <f t="shared" si="117"/>
        <v>0</v>
      </c>
      <c r="I309" s="836">
        <f t="shared" ref="I309:I331" si="118">ROUND(SUM(C309:H309),0)</f>
        <v>10676</v>
      </c>
      <c r="J309" s="797">
        <v>1</v>
      </c>
      <c r="K309" s="797">
        <f t="shared" ref="K309:K331" si="119">IF(J309&lt;&gt;"",I309/J309,"")</f>
        <v>10676</v>
      </c>
      <c r="L309" s="698"/>
      <c r="M309" s="698"/>
      <c r="N309" s="192" t="s">
        <v>736</v>
      </c>
      <c r="O309" s="810">
        <f t="shared" si="108"/>
        <v>41056</v>
      </c>
      <c r="P309" s="810">
        <v>41059</v>
      </c>
      <c r="Q309" s="811" t="s">
        <v>1010</v>
      </c>
      <c r="R309" s="304">
        <f>J309</f>
        <v>1</v>
      </c>
      <c r="S309" s="255">
        <v>9420</v>
      </c>
      <c r="T309" s="8">
        <f t="shared" ref="T309:T331" si="120">R309*S309</f>
        <v>9420</v>
      </c>
      <c r="U309" s="452"/>
      <c r="V309" s="812"/>
      <c r="W309" s="840"/>
      <c r="X309" s="840"/>
      <c r="Y309" s="8">
        <f t="shared" ref="Y309:Y331" si="121">W309*X309</f>
        <v>0</v>
      </c>
    </row>
    <row r="310" spans="1:25">
      <c r="A310" s="835">
        <f t="shared" si="109"/>
        <v>112</v>
      </c>
      <c r="B310" s="297" t="s">
        <v>1502</v>
      </c>
      <c r="C310" s="864">
        <f t="shared" si="116"/>
        <v>9026.75</v>
      </c>
      <c r="D310" s="797">
        <f t="shared" si="117"/>
        <v>526.17166105938497</v>
      </c>
      <c r="E310" s="797">
        <f t="shared" si="117"/>
        <v>172.03596484364812</v>
      </c>
      <c r="F310" s="797">
        <f t="shared" si="117"/>
        <v>319.84977701275329</v>
      </c>
      <c r="G310" s="797">
        <f t="shared" si="117"/>
        <v>237.98346503925097</v>
      </c>
      <c r="H310" s="797">
        <f t="shared" si="117"/>
        <v>0</v>
      </c>
      <c r="I310" s="836">
        <f t="shared" si="118"/>
        <v>10283</v>
      </c>
      <c r="J310" s="797">
        <v>1</v>
      </c>
      <c r="K310" s="797">
        <f t="shared" si="119"/>
        <v>10283</v>
      </c>
      <c r="L310" s="698"/>
      <c r="M310" s="698"/>
      <c r="N310" s="192" t="s">
        <v>1385</v>
      </c>
      <c r="O310" s="810">
        <f t="shared" si="108"/>
        <v>41056</v>
      </c>
      <c r="P310" s="810">
        <v>41059</v>
      </c>
      <c r="Q310" s="811" t="s">
        <v>1010</v>
      </c>
      <c r="R310" s="304">
        <v>1</v>
      </c>
      <c r="S310" s="255">
        <v>9026.75</v>
      </c>
      <c r="T310" s="8">
        <f t="shared" si="120"/>
        <v>9026.75</v>
      </c>
      <c r="U310" s="452"/>
      <c r="V310" s="812"/>
      <c r="W310" s="840"/>
      <c r="X310" s="840"/>
      <c r="Y310" s="8">
        <f t="shared" si="121"/>
        <v>0</v>
      </c>
    </row>
    <row r="311" spans="1:25">
      <c r="A311" s="835">
        <f t="shared" si="109"/>
        <v>113</v>
      </c>
      <c r="B311" s="297" t="s">
        <v>1537</v>
      </c>
      <c r="C311" s="864">
        <f t="shared" si="116"/>
        <v>9026.7307692307695</v>
      </c>
      <c r="D311" s="797">
        <f t="shared" si="117"/>
        <v>526.17166105938497</v>
      </c>
      <c r="E311" s="797">
        <f t="shared" si="117"/>
        <v>172.03596484364812</v>
      </c>
      <c r="F311" s="797">
        <f t="shared" si="117"/>
        <v>319.84977701275329</v>
      </c>
      <c r="G311" s="797">
        <f t="shared" si="117"/>
        <v>237.98346503925097</v>
      </c>
      <c r="H311" s="797">
        <f t="shared" si="117"/>
        <v>0</v>
      </c>
      <c r="I311" s="836">
        <f t="shared" si="118"/>
        <v>10283</v>
      </c>
      <c r="J311" s="797">
        <v>1</v>
      </c>
      <c r="K311" s="797">
        <f t="shared" si="119"/>
        <v>10283</v>
      </c>
      <c r="L311" s="698"/>
      <c r="M311" s="698"/>
      <c r="N311" s="192" t="s">
        <v>1385</v>
      </c>
      <c r="O311" s="810">
        <f t="shared" si="108"/>
        <v>41056</v>
      </c>
      <c r="P311" s="810">
        <v>41059</v>
      </c>
      <c r="Q311" s="811" t="s">
        <v>1010</v>
      </c>
      <c r="R311" s="304">
        <v>1</v>
      </c>
      <c r="S311" s="255">
        <v>9026.7307692307695</v>
      </c>
      <c r="T311" s="8">
        <f t="shared" si="120"/>
        <v>9026.7307692307695</v>
      </c>
      <c r="U311" s="452"/>
      <c r="V311" s="812"/>
      <c r="W311" s="840"/>
      <c r="X311" s="840"/>
      <c r="Y311" s="8">
        <f t="shared" si="121"/>
        <v>0</v>
      </c>
    </row>
    <row r="312" spans="1:25">
      <c r="A312" s="835">
        <f t="shared" si="109"/>
        <v>114</v>
      </c>
      <c r="B312" s="297" t="s">
        <v>1514</v>
      </c>
      <c r="C312" s="864">
        <f t="shared" si="116"/>
        <v>47981.777777777781</v>
      </c>
      <c r="D312" s="797">
        <f t="shared" si="117"/>
        <v>2104.6866442375399</v>
      </c>
      <c r="E312" s="797">
        <f t="shared" si="117"/>
        <v>688.14385937459247</v>
      </c>
      <c r="F312" s="797">
        <f t="shared" si="117"/>
        <v>1279.3991080510132</v>
      </c>
      <c r="G312" s="797">
        <f t="shared" si="117"/>
        <v>951.93386015700389</v>
      </c>
      <c r="H312" s="797">
        <f t="shared" si="117"/>
        <v>0</v>
      </c>
      <c r="I312" s="836">
        <f t="shared" si="118"/>
        <v>53006</v>
      </c>
      <c r="J312" s="797">
        <v>4</v>
      </c>
      <c r="K312" s="797">
        <f t="shared" si="119"/>
        <v>13251.5</v>
      </c>
      <c r="L312" s="698"/>
      <c r="M312" s="698"/>
      <c r="N312" s="189" t="s">
        <v>1288</v>
      </c>
      <c r="O312" s="810">
        <f t="shared" si="108"/>
        <v>41056</v>
      </c>
      <c r="P312" s="810">
        <v>41059</v>
      </c>
      <c r="Q312" s="811" t="s">
        <v>1010</v>
      </c>
      <c r="R312" s="304">
        <f>J312</f>
        <v>4</v>
      </c>
      <c r="S312" s="252">
        <v>11995.444444444445</v>
      </c>
      <c r="T312" s="8">
        <f t="shared" si="120"/>
        <v>47981.777777777781</v>
      </c>
      <c r="U312" s="452"/>
      <c r="V312" s="812"/>
      <c r="W312" s="840"/>
      <c r="X312" s="840"/>
      <c r="Y312" s="8">
        <f t="shared" si="121"/>
        <v>0</v>
      </c>
    </row>
    <row r="313" spans="1:25">
      <c r="A313" s="835">
        <f t="shared" si="109"/>
        <v>115</v>
      </c>
      <c r="B313" s="297" t="s">
        <v>1541</v>
      </c>
      <c r="C313" s="864">
        <f t="shared" si="116"/>
        <v>37680</v>
      </c>
      <c r="D313" s="797">
        <f t="shared" si="117"/>
        <v>2104.6866442375399</v>
      </c>
      <c r="E313" s="797">
        <f t="shared" si="117"/>
        <v>688.14385937459247</v>
      </c>
      <c r="F313" s="797">
        <f t="shared" si="117"/>
        <v>1279.3991080510132</v>
      </c>
      <c r="G313" s="797">
        <f t="shared" si="117"/>
        <v>951.93386015700389</v>
      </c>
      <c r="H313" s="797">
        <f t="shared" si="117"/>
        <v>0</v>
      </c>
      <c r="I313" s="836">
        <f t="shared" si="118"/>
        <v>42704</v>
      </c>
      <c r="J313" s="797">
        <v>4</v>
      </c>
      <c r="K313" s="797">
        <f t="shared" si="119"/>
        <v>10676</v>
      </c>
      <c r="L313" s="698"/>
      <c r="M313" s="698"/>
      <c r="N313" s="192" t="s">
        <v>736</v>
      </c>
      <c r="O313" s="810">
        <f t="shared" si="108"/>
        <v>41056</v>
      </c>
      <c r="P313" s="810">
        <v>41059</v>
      </c>
      <c r="Q313" s="811" t="s">
        <v>1010</v>
      </c>
      <c r="R313" s="304">
        <f>J313</f>
        <v>4</v>
      </c>
      <c r="S313" s="255">
        <v>9420</v>
      </c>
      <c r="T313" s="8">
        <f t="shared" si="120"/>
        <v>37680</v>
      </c>
      <c r="U313" s="452"/>
      <c r="V313" s="812"/>
      <c r="W313" s="840"/>
      <c r="X313" s="840"/>
      <c r="Y313" s="8">
        <f t="shared" si="121"/>
        <v>0</v>
      </c>
    </row>
    <row r="314" spans="1:25">
      <c r="A314" s="835">
        <f t="shared" si="109"/>
        <v>116</v>
      </c>
      <c r="B314" s="297" t="s">
        <v>1504</v>
      </c>
      <c r="C314" s="864">
        <f t="shared" si="116"/>
        <v>202536</v>
      </c>
      <c r="D314" s="797">
        <f t="shared" si="117"/>
        <v>12628.11986542524</v>
      </c>
      <c r="E314" s="797">
        <f t="shared" si="117"/>
        <v>4128.8631562475548</v>
      </c>
      <c r="F314" s="797">
        <f t="shared" si="117"/>
        <v>7676.394648306079</v>
      </c>
      <c r="G314" s="797">
        <f t="shared" si="117"/>
        <v>5711.6031609420234</v>
      </c>
      <c r="H314" s="797">
        <f t="shared" si="117"/>
        <v>0</v>
      </c>
      <c r="I314" s="836">
        <f t="shared" si="118"/>
        <v>232681</v>
      </c>
      <c r="J314" s="797">
        <v>24</v>
      </c>
      <c r="K314" s="797">
        <f t="shared" si="119"/>
        <v>9695.0416666666661</v>
      </c>
      <c r="L314" s="698"/>
      <c r="M314" s="698"/>
      <c r="N314" s="192" t="s">
        <v>1278</v>
      </c>
      <c r="O314" s="810">
        <f t="shared" si="108"/>
        <v>41056</v>
      </c>
      <c r="P314" s="810">
        <v>41059</v>
      </c>
      <c r="Q314" s="811" t="s">
        <v>1010</v>
      </c>
      <c r="R314" s="862">
        <v>12</v>
      </c>
      <c r="S314" s="255">
        <v>16878</v>
      </c>
      <c r="T314" s="8">
        <f t="shared" si="120"/>
        <v>202536</v>
      </c>
      <c r="U314" s="452"/>
      <c r="V314" s="812"/>
      <c r="W314" s="840"/>
      <c r="X314" s="840"/>
      <c r="Y314" s="8">
        <f t="shared" si="121"/>
        <v>0</v>
      </c>
    </row>
    <row r="315" spans="1:25">
      <c r="A315" s="835">
        <f t="shared" si="109"/>
        <v>117</v>
      </c>
      <c r="B315" s="297" t="s">
        <v>1505</v>
      </c>
      <c r="C315" s="864">
        <f t="shared" si="116"/>
        <v>761452</v>
      </c>
      <c r="D315" s="797">
        <f t="shared" si="117"/>
        <v>42619.904545810183</v>
      </c>
      <c r="E315" s="797">
        <f t="shared" si="117"/>
        <v>13934.913152335497</v>
      </c>
      <c r="F315" s="797">
        <f t="shared" si="117"/>
        <v>25907.831938033018</v>
      </c>
      <c r="G315" s="797">
        <f t="shared" si="117"/>
        <v>19276.660668179327</v>
      </c>
      <c r="H315" s="797">
        <f t="shared" si="117"/>
        <v>0</v>
      </c>
      <c r="I315" s="836">
        <f t="shared" si="118"/>
        <v>863191</v>
      </c>
      <c r="J315" s="797">
        <v>81</v>
      </c>
      <c r="K315" s="797">
        <f t="shared" si="119"/>
        <v>10656.679012345679</v>
      </c>
      <c r="L315" s="698"/>
      <c r="M315" s="698"/>
      <c r="N315" s="192" t="s">
        <v>1408</v>
      </c>
      <c r="O315" s="810">
        <f t="shared" si="108"/>
        <v>41056</v>
      </c>
      <c r="P315" s="810">
        <v>41059</v>
      </c>
      <c r="Q315" s="811" t="s">
        <v>1010</v>
      </c>
      <c r="R315" s="862">
        <v>82</v>
      </c>
      <c r="S315" s="252">
        <v>9286</v>
      </c>
      <c r="T315" s="8">
        <f t="shared" si="120"/>
        <v>761452</v>
      </c>
      <c r="U315" s="452"/>
      <c r="V315" s="812"/>
      <c r="W315" s="840"/>
      <c r="X315" s="840"/>
      <c r="Y315" s="8">
        <f t="shared" si="121"/>
        <v>0</v>
      </c>
    </row>
    <row r="316" spans="1:25">
      <c r="A316" s="835">
        <f t="shared" si="109"/>
        <v>118</v>
      </c>
      <c r="B316" s="297" t="s">
        <v>1500</v>
      </c>
      <c r="C316" s="864">
        <f t="shared" si="116"/>
        <v>9026.7307692307695</v>
      </c>
      <c r="D316" s="797">
        <f t="shared" si="117"/>
        <v>526.17166105938497</v>
      </c>
      <c r="E316" s="797">
        <f t="shared" si="117"/>
        <v>172.03596484364812</v>
      </c>
      <c r="F316" s="797">
        <f t="shared" si="117"/>
        <v>319.84977701275329</v>
      </c>
      <c r="G316" s="797">
        <f t="shared" si="117"/>
        <v>237.98346503925097</v>
      </c>
      <c r="H316" s="797">
        <f t="shared" si="117"/>
        <v>0</v>
      </c>
      <c r="I316" s="836">
        <f t="shared" si="118"/>
        <v>10283</v>
      </c>
      <c r="J316" s="797">
        <v>1</v>
      </c>
      <c r="K316" s="797">
        <f t="shared" si="119"/>
        <v>10283</v>
      </c>
      <c r="L316" s="698"/>
      <c r="M316" s="698"/>
      <c r="N316" s="192" t="s">
        <v>1385</v>
      </c>
      <c r="O316" s="810">
        <f t="shared" si="108"/>
        <v>41056</v>
      </c>
      <c r="P316" s="810">
        <v>41059</v>
      </c>
      <c r="Q316" s="811" t="s">
        <v>1010</v>
      </c>
      <c r="R316" s="304">
        <v>1</v>
      </c>
      <c r="S316" s="255">
        <v>9026.7307692307695</v>
      </c>
      <c r="T316" s="8">
        <f t="shared" si="93"/>
        <v>9026.7307692307695</v>
      </c>
      <c r="U316" s="452"/>
      <c r="V316" s="812"/>
      <c r="W316" s="840"/>
      <c r="X316" s="840"/>
      <c r="Y316" s="8">
        <f t="shared" si="121"/>
        <v>0</v>
      </c>
    </row>
    <row r="317" spans="1:25">
      <c r="A317" s="835">
        <f t="shared" si="109"/>
        <v>119</v>
      </c>
      <c r="B317" s="297" t="s">
        <v>1508</v>
      </c>
      <c r="C317" s="864">
        <f t="shared" si="116"/>
        <v>47100</v>
      </c>
      <c r="D317" s="797">
        <f t="shared" si="117"/>
        <v>2630.8583052969248</v>
      </c>
      <c r="E317" s="797">
        <f t="shared" si="117"/>
        <v>860.17982421824058</v>
      </c>
      <c r="F317" s="797">
        <f t="shared" si="117"/>
        <v>1599.2488850637665</v>
      </c>
      <c r="G317" s="797">
        <f t="shared" si="117"/>
        <v>1189.9173251962548</v>
      </c>
      <c r="H317" s="797">
        <f t="shared" si="117"/>
        <v>0</v>
      </c>
      <c r="I317" s="836">
        <f t="shared" si="118"/>
        <v>53380</v>
      </c>
      <c r="J317" s="797">
        <v>5</v>
      </c>
      <c r="K317" s="797">
        <f t="shared" si="119"/>
        <v>10676</v>
      </c>
      <c r="L317" s="698"/>
      <c r="M317" s="698"/>
      <c r="N317" s="192" t="s">
        <v>736</v>
      </c>
      <c r="O317" s="810">
        <f t="shared" si="108"/>
        <v>41056</v>
      </c>
      <c r="P317" s="810">
        <v>41059</v>
      </c>
      <c r="Q317" s="811" t="s">
        <v>1010</v>
      </c>
      <c r="R317" s="304">
        <f>J317</f>
        <v>5</v>
      </c>
      <c r="S317" s="255">
        <v>9420</v>
      </c>
      <c r="T317" s="8">
        <f t="shared" si="120"/>
        <v>47100</v>
      </c>
      <c r="U317" s="452"/>
      <c r="V317" s="812"/>
      <c r="W317" s="840"/>
      <c r="X317" s="840"/>
      <c r="Y317" s="8">
        <f t="shared" si="121"/>
        <v>0</v>
      </c>
    </row>
    <row r="318" spans="1:25">
      <c r="A318" s="835">
        <f t="shared" si="109"/>
        <v>120</v>
      </c>
      <c r="B318" s="297" t="s">
        <v>1506</v>
      </c>
      <c r="C318" s="864">
        <f t="shared" si="116"/>
        <v>688800</v>
      </c>
      <c r="D318" s="797">
        <f t="shared" si="117"/>
        <v>29991.784680384942</v>
      </c>
      <c r="E318" s="797">
        <f t="shared" si="117"/>
        <v>9806.0499960879424</v>
      </c>
      <c r="F318" s="797">
        <f t="shared" si="117"/>
        <v>18231.437289726939</v>
      </c>
      <c r="G318" s="797">
        <f t="shared" si="117"/>
        <v>13565.057507237305</v>
      </c>
      <c r="H318" s="797">
        <f t="shared" si="117"/>
        <v>0</v>
      </c>
      <c r="I318" s="836">
        <f t="shared" si="118"/>
        <v>760394</v>
      </c>
      <c r="J318" s="797">
        <v>57</v>
      </c>
      <c r="K318" s="797">
        <f t="shared" si="119"/>
        <v>13340.245614035088</v>
      </c>
      <c r="L318" s="698"/>
      <c r="M318" s="698"/>
      <c r="N318" s="192" t="s">
        <v>1384</v>
      </c>
      <c r="O318" s="810">
        <f t="shared" si="108"/>
        <v>41056</v>
      </c>
      <c r="P318" s="810">
        <v>41059</v>
      </c>
      <c r="Q318" s="811" t="s">
        <v>1010</v>
      </c>
      <c r="R318" s="304">
        <v>60</v>
      </c>
      <c r="S318" s="255">
        <v>11480</v>
      </c>
      <c r="T318" s="8">
        <f t="shared" si="120"/>
        <v>688800</v>
      </c>
      <c r="U318" s="452"/>
      <c r="V318" s="812"/>
      <c r="W318" s="840"/>
      <c r="X318" s="840"/>
      <c r="Y318" s="8">
        <f t="shared" si="121"/>
        <v>0</v>
      </c>
    </row>
    <row r="319" spans="1:25">
      <c r="A319" s="835">
        <f t="shared" si="109"/>
        <v>121</v>
      </c>
      <c r="B319" s="297" t="s">
        <v>1535</v>
      </c>
      <c r="C319" s="864">
        <f t="shared" si="116"/>
        <v>14375</v>
      </c>
      <c r="D319" s="797">
        <f t="shared" ref="D319:H328" si="122">IF($J$371&lt;&gt;0,D$371/$J$371*$J319,0)</f>
        <v>526.17166105938497</v>
      </c>
      <c r="E319" s="797">
        <f t="shared" si="122"/>
        <v>172.03596484364812</v>
      </c>
      <c r="F319" s="797">
        <f t="shared" si="122"/>
        <v>319.84977701275329</v>
      </c>
      <c r="G319" s="797">
        <f t="shared" si="122"/>
        <v>237.98346503925097</v>
      </c>
      <c r="H319" s="797">
        <f t="shared" si="122"/>
        <v>0</v>
      </c>
      <c r="I319" s="836">
        <f t="shared" si="118"/>
        <v>15631</v>
      </c>
      <c r="J319" s="797">
        <v>1</v>
      </c>
      <c r="K319" s="797">
        <f t="shared" si="119"/>
        <v>15631</v>
      </c>
      <c r="L319" s="698"/>
      <c r="M319" s="698"/>
      <c r="N319" s="192" t="s">
        <v>1267</v>
      </c>
      <c r="O319" s="810">
        <f t="shared" si="108"/>
        <v>41056</v>
      </c>
      <c r="P319" s="810">
        <v>41059</v>
      </c>
      <c r="Q319" s="811" t="s">
        <v>1010</v>
      </c>
      <c r="R319" s="304">
        <v>1</v>
      </c>
      <c r="S319" s="255">
        <v>14375</v>
      </c>
      <c r="T319" s="8">
        <f t="shared" si="120"/>
        <v>14375</v>
      </c>
      <c r="U319" s="452"/>
      <c r="V319" s="812"/>
      <c r="W319" s="840"/>
      <c r="X319" s="840"/>
      <c r="Y319" s="8">
        <f t="shared" si="121"/>
        <v>0</v>
      </c>
    </row>
    <row r="320" spans="1:25">
      <c r="A320" s="835">
        <f t="shared" si="109"/>
        <v>122</v>
      </c>
      <c r="B320" s="297" t="s">
        <v>1496</v>
      </c>
      <c r="C320" s="864">
        <f t="shared" si="116"/>
        <v>1705950</v>
      </c>
      <c r="D320" s="797">
        <f t="shared" si="122"/>
        <v>79978.092481026513</v>
      </c>
      <c r="E320" s="797">
        <f t="shared" si="122"/>
        <v>26149.466656234516</v>
      </c>
      <c r="F320" s="797">
        <f t="shared" si="122"/>
        <v>48617.166105938501</v>
      </c>
      <c r="G320" s="797">
        <f t="shared" si="122"/>
        <v>36173.486685966149</v>
      </c>
      <c r="H320" s="797">
        <f t="shared" si="122"/>
        <v>0</v>
      </c>
      <c r="I320" s="836">
        <f t="shared" si="118"/>
        <v>1896868</v>
      </c>
      <c r="J320" s="797">
        <v>152</v>
      </c>
      <c r="K320" s="797">
        <f t="shared" si="119"/>
        <v>12479.394736842105</v>
      </c>
      <c r="L320" s="698"/>
      <c r="M320" s="698"/>
      <c r="N320" s="192" t="s">
        <v>1283</v>
      </c>
      <c r="O320" s="810">
        <f t="shared" si="108"/>
        <v>41056</v>
      </c>
      <c r="P320" s="810">
        <v>41059</v>
      </c>
      <c r="Q320" s="811" t="s">
        <v>1010</v>
      </c>
      <c r="R320" s="304">
        <v>153</v>
      </c>
      <c r="S320" s="255">
        <v>11150</v>
      </c>
      <c r="T320" s="8">
        <f t="shared" si="120"/>
        <v>1705950</v>
      </c>
      <c r="U320" s="452"/>
      <c r="V320" s="812"/>
      <c r="W320" s="840"/>
      <c r="X320" s="840"/>
      <c r="Y320" s="8">
        <f t="shared" si="121"/>
        <v>0</v>
      </c>
    </row>
    <row r="321" spans="1:25">
      <c r="A321" s="835">
        <f t="shared" si="109"/>
        <v>123</v>
      </c>
      <c r="B321" s="297" t="s">
        <v>1510</v>
      </c>
      <c r="C321" s="864">
        <f t="shared" si="116"/>
        <v>452682</v>
      </c>
      <c r="D321" s="797">
        <f t="shared" si="122"/>
        <v>17363.664814959706</v>
      </c>
      <c r="E321" s="797">
        <f t="shared" si="122"/>
        <v>5677.1868398403876</v>
      </c>
      <c r="F321" s="797">
        <f t="shared" si="122"/>
        <v>10555.04264142086</v>
      </c>
      <c r="G321" s="797">
        <f t="shared" si="122"/>
        <v>7853.4543462952824</v>
      </c>
      <c r="H321" s="797">
        <f t="shared" si="122"/>
        <v>0</v>
      </c>
      <c r="I321" s="836">
        <f t="shared" si="118"/>
        <v>494131</v>
      </c>
      <c r="J321" s="797">
        <v>33</v>
      </c>
      <c r="K321" s="797">
        <f t="shared" si="119"/>
        <v>14973.666666666666</v>
      </c>
      <c r="L321" s="698"/>
      <c r="M321" s="698"/>
      <c r="N321" s="192" t="s">
        <v>1328</v>
      </c>
      <c r="O321" s="810">
        <f t="shared" ref="O321:O369" si="123">P321-3</f>
        <v>41056</v>
      </c>
      <c r="P321" s="810">
        <v>41059</v>
      </c>
      <c r="Q321" s="811" t="s">
        <v>1010</v>
      </c>
      <c r="R321" s="304">
        <v>18</v>
      </c>
      <c r="S321" s="252">
        <v>25149</v>
      </c>
      <c r="T321" s="8">
        <f t="shared" si="120"/>
        <v>452682</v>
      </c>
      <c r="U321" s="452"/>
      <c r="V321" s="812"/>
      <c r="W321" s="840"/>
      <c r="X321" s="840"/>
      <c r="Y321" s="8">
        <f t="shared" si="121"/>
        <v>0</v>
      </c>
    </row>
    <row r="322" spans="1:25">
      <c r="A322" s="835">
        <f t="shared" si="109"/>
        <v>124</v>
      </c>
      <c r="B322" s="297" t="s">
        <v>1526</v>
      </c>
      <c r="C322" s="864">
        <f t="shared" si="116"/>
        <v>332789.76000000001</v>
      </c>
      <c r="D322" s="797">
        <f t="shared" si="122"/>
        <v>11575.776543306469</v>
      </c>
      <c r="E322" s="797">
        <f t="shared" si="122"/>
        <v>3784.7912265602586</v>
      </c>
      <c r="F322" s="797">
        <f t="shared" si="122"/>
        <v>7036.6950942805724</v>
      </c>
      <c r="G322" s="797">
        <f t="shared" si="122"/>
        <v>5235.6362308635216</v>
      </c>
      <c r="H322" s="797">
        <f t="shared" si="122"/>
        <v>0</v>
      </c>
      <c r="I322" s="836">
        <f t="shared" si="118"/>
        <v>360423</v>
      </c>
      <c r="J322" s="797">
        <v>22</v>
      </c>
      <c r="K322" s="797">
        <f t="shared" si="119"/>
        <v>16382.863636363636</v>
      </c>
      <c r="L322" s="698"/>
      <c r="M322" s="698"/>
      <c r="N322" s="192" t="s">
        <v>787</v>
      </c>
      <c r="O322" s="810">
        <f t="shared" si="123"/>
        <v>41056</v>
      </c>
      <c r="P322" s="810">
        <v>41059</v>
      </c>
      <c r="Q322" s="811" t="s">
        <v>1010</v>
      </c>
      <c r="R322" s="304">
        <v>23</v>
      </c>
      <c r="S322" s="252">
        <v>14469.12</v>
      </c>
      <c r="T322" s="8">
        <f t="shared" si="120"/>
        <v>332789.76000000001</v>
      </c>
      <c r="U322" s="452"/>
      <c r="V322" s="812"/>
      <c r="W322" s="840"/>
      <c r="X322" s="840"/>
      <c r="Y322" s="8">
        <f t="shared" si="121"/>
        <v>0</v>
      </c>
    </row>
    <row r="323" spans="1:25">
      <c r="A323" s="835">
        <f t="shared" si="109"/>
        <v>125</v>
      </c>
      <c r="B323" s="297" t="s">
        <v>1538</v>
      </c>
      <c r="C323" s="864">
        <f t="shared" si="116"/>
        <v>1507320</v>
      </c>
      <c r="D323" s="797">
        <f t="shared" si="122"/>
        <v>45250.762851107109</v>
      </c>
      <c r="E323" s="797">
        <f t="shared" si="122"/>
        <v>14795.092976553738</v>
      </c>
      <c r="F323" s="797">
        <f t="shared" si="122"/>
        <v>27507.080823096781</v>
      </c>
      <c r="G323" s="797">
        <f t="shared" si="122"/>
        <v>20466.577993375584</v>
      </c>
      <c r="H323" s="797">
        <f t="shared" si="122"/>
        <v>0</v>
      </c>
      <c r="I323" s="836">
        <f t="shared" si="118"/>
        <v>1615340</v>
      </c>
      <c r="J323" s="797">
        <v>86</v>
      </c>
      <c r="K323" s="797">
        <f t="shared" si="119"/>
        <v>18783.023255813954</v>
      </c>
      <c r="L323" s="698"/>
      <c r="M323" s="698"/>
      <c r="N323" s="192" t="s">
        <v>1447</v>
      </c>
      <c r="O323" s="810">
        <f t="shared" si="123"/>
        <v>41056</v>
      </c>
      <c r="P323" s="810">
        <v>41059</v>
      </c>
      <c r="Q323" s="811" t="s">
        <v>1010</v>
      </c>
      <c r="R323" s="862">
        <v>90</v>
      </c>
      <c r="S323" s="252">
        <v>16748</v>
      </c>
      <c r="T323" s="8">
        <f t="shared" si="120"/>
        <v>1507320</v>
      </c>
      <c r="U323" s="452"/>
      <c r="V323" s="812"/>
      <c r="W323" s="840"/>
      <c r="X323" s="840"/>
      <c r="Y323" s="8">
        <f t="shared" si="121"/>
        <v>0</v>
      </c>
    </row>
    <row r="324" spans="1:25">
      <c r="A324" s="835">
        <f t="shared" si="109"/>
        <v>126</v>
      </c>
      <c r="B324" s="297" t="s">
        <v>1513</v>
      </c>
      <c r="C324" s="864">
        <f t="shared" si="116"/>
        <v>1266540</v>
      </c>
      <c r="D324" s="797">
        <f t="shared" si="122"/>
        <v>47881.621156404035</v>
      </c>
      <c r="E324" s="797">
        <f t="shared" si="122"/>
        <v>15655.272800771978</v>
      </c>
      <c r="F324" s="797">
        <f t="shared" si="122"/>
        <v>29106.329708160549</v>
      </c>
      <c r="G324" s="797">
        <f t="shared" si="122"/>
        <v>21656.495318571837</v>
      </c>
      <c r="H324" s="797">
        <f t="shared" si="122"/>
        <v>0</v>
      </c>
      <c r="I324" s="836">
        <f t="shared" si="118"/>
        <v>1380840</v>
      </c>
      <c r="J324" s="797">
        <v>91</v>
      </c>
      <c r="K324" s="797">
        <f t="shared" si="119"/>
        <v>15174.065934065935</v>
      </c>
      <c r="L324" s="698"/>
      <c r="M324" s="698"/>
      <c r="N324" s="192" t="s">
        <v>1329</v>
      </c>
      <c r="O324" s="810">
        <f t="shared" si="123"/>
        <v>41056</v>
      </c>
      <c r="P324" s="810">
        <v>41059</v>
      </c>
      <c r="Q324" s="811" t="s">
        <v>1010</v>
      </c>
      <c r="R324" s="304">
        <v>55</v>
      </c>
      <c r="S324" s="252">
        <v>23028</v>
      </c>
      <c r="T324" s="8">
        <f t="shared" si="120"/>
        <v>1266540</v>
      </c>
      <c r="U324" s="452"/>
      <c r="V324" s="812"/>
      <c r="W324" s="840"/>
      <c r="X324" s="840"/>
      <c r="Y324" s="8">
        <f t="shared" si="121"/>
        <v>0</v>
      </c>
    </row>
    <row r="325" spans="1:25">
      <c r="A325" s="835">
        <f t="shared" si="109"/>
        <v>127</v>
      </c>
      <c r="B325" s="297" t="s">
        <v>1532</v>
      </c>
      <c r="C325" s="864">
        <f t="shared" si="116"/>
        <v>5787250</v>
      </c>
      <c r="D325" s="797">
        <f t="shared" si="122"/>
        <v>125755.02699319301</v>
      </c>
      <c r="E325" s="797">
        <f t="shared" si="122"/>
        <v>41116.595597631902</v>
      </c>
      <c r="F325" s="797">
        <f t="shared" si="122"/>
        <v>76444.096706048033</v>
      </c>
      <c r="G325" s="797">
        <f t="shared" si="122"/>
        <v>56878.048144380984</v>
      </c>
      <c r="H325" s="797">
        <f t="shared" si="122"/>
        <v>0</v>
      </c>
      <c r="I325" s="836">
        <f t="shared" si="118"/>
        <v>6087444</v>
      </c>
      <c r="J325" s="797">
        <v>239</v>
      </c>
      <c r="K325" s="797">
        <f t="shared" si="119"/>
        <v>25470.476987447699</v>
      </c>
      <c r="L325" s="698"/>
      <c r="M325" s="698"/>
      <c r="N325" s="192" t="s">
        <v>1289</v>
      </c>
      <c r="O325" s="810">
        <f t="shared" si="123"/>
        <v>41056</v>
      </c>
      <c r="P325" s="810">
        <v>41059</v>
      </c>
      <c r="Q325" s="811" t="s">
        <v>1010</v>
      </c>
      <c r="R325" s="304">
        <v>250</v>
      </c>
      <c r="S325" s="255">
        <v>23149</v>
      </c>
      <c r="T325" s="8">
        <f t="shared" si="120"/>
        <v>5787250</v>
      </c>
      <c r="U325" s="452"/>
      <c r="V325" s="812"/>
      <c r="W325" s="840"/>
      <c r="X325" s="840"/>
      <c r="Y325" s="8">
        <f t="shared" si="121"/>
        <v>0</v>
      </c>
    </row>
    <row r="326" spans="1:25">
      <c r="A326" s="835">
        <f t="shared" si="109"/>
        <v>128</v>
      </c>
      <c r="B326" s="297" t="s">
        <v>1516</v>
      </c>
      <c r="C326" s="864">
        <f t="shared" si="116"/>
        <v>637992</v>
      </c>
      <c r="D326" s="797">
        <f t="shared" si="122"/>
        <v>18942.179798137859</v>
      </c>
      <c r="E326" s="797">
        <f t="shared" si="122"/>
        <v>6193.2947343713322</v>
      </c>
      <c r="F326" s="797">
        <f t="shared" si="122"/>
        <v>11514.591972459119</v>
      </c>
      <c r="G326" s="797">
        <f t="shared" si="122"/>
        <v>8567.4047414130346</v>
      </c>
      <c r="H326" s="797">
        <f t="shared" si="122"/>
        <v>0</v>
      </c>
      <c r="I326" s="836">
        <f t="shared" si="118"/>
        <v>683209</v>
      </c>
      <c r="J326" s="797">
        <v>36</v>
      </c>
      <c r="K326" s="797">
        <f t="shared" si="119"/>
        <v>18978.027777777777</v>
      </c>
      <c r="L326" s="698"/>
      <c r="M326" s="698"/>
      <c r="N326" s="192" t="s">
        <v>1413</v>
      </c>
      <c r="O326" s="810">
        <f t="shared" si="123"/>
        <v>41056</v>
      </c>
      <c r="P326" s="810">
        <v>41059</v>
      </c>
      <c r="Q326" s="811" t="s">
        <v>1010</v>
      </c>
      <c r="R326" s="304">
        <f>J326</f>
        <v>36</v>
      </c>
      <c r="S326" s="842">
        <v>17722</v>
      </c>
      <c r="T326" s="8">
        <f t="shared" si="120"/>
        <v>637992</v>
      </c>
      <c r="U326" s="452"/>
      <c r="V326" s="812"/>
      <c r="W326" s="840"/>
      <c r="X326" s="840"/>
      <c r="Y326" s="8">
        <f t="shared" si="121"/>
        <v>0</v>
      </c>
    </row>
    <row r="327" spans="1:25">
      <c r="A327" s="835">
        <f t="shared" si="109"/>
        <v>129</v>
      </c>
      <c r="B327" s="297" t="s">
        <v>1523</v>
      </c>
      <c r="C327" s="864">
        <f t="shared" si="116"/>
        <v>31346.699999999997</v>
      </c>
      <c r="D327" s="797">
        <f t="shared" si="122"/>
        <v>1052.3433221187699</v>
      </c>
      <c r="E327" s="797">
        <f t="shared" si="122"/>
        <v>344.07192968729623</v>
      </c>
      <c r="F327" s="797">
        <f t="shared" si="122"/>
        <v>639.69955402550659</v>
      </c>
      <c r="G327" s="797">
        <f t="shared" si="122"/>
        <v>475.96693007850195</v>
      </c>
      <c r="H327" s="797">
        <f t="shared" si="122"/>
        <v>0</v>
      </c>
      <c r="I327" s="836">
        <f t="shared" si="118"/>
        <v>33859</v>
      </c>
      <c r="J327" s="797">
        <v>2</v>
      </c>
      <c r="K327" s="797">
        <f t="shared" si="119"/>
        <v>16929.5</v>
      </c>
      <c r="L327" s="698"/>
      <c r="M327" s="698"/>
      <c r="N327" s="192" t="s">
        <v>791</v>
      </c>
      <c r="O327" s="810">
        <f t="shared" si="123"/>
        <v>41056</v>
      </c>
      <c r="P327" s="810">
        <v>41059</v>
      </c>
      <c r="Q327" s="811" t="s">
        <v>1010</v>
      </c>
      <c r="R327" s="304">
        <v>3</v>
      </c>
      <c r="S327" s="255">
        <v>10448.9</v>
      </c>
      <c r="T327" s="8">
        <f t="shared" si="120"/>
        <v>31346.699999999997</v>
      </c>
      <c r="U327" s="452"/>
      <c r="V327" s="812"/>
      <c r="W327" s="840"/>
      <c r="X327" s="840"/>
      <c r="Y327" s="8">
        <f t="shared" si="121"/>
        <v>0</v>
      </c>
    </row>
    <row r="328" spans="1:25">
      <c r="A328" s="835">
        <f t="shared" si="109"/>
        <v>130</v>
      </c>
      <c r="B328" s="297" t="s">
        <v>1524</v>
      </c>
      <c r="C328" s="864">
        <f t="shared" si="116"/>
        <v>917145.49280847842</v>
      </c>
      <c r="D328" s="797">
        <f t="shared" si="122"/>
        <v>24203.896408731707</v>
      </c>
      <c r="E328" s="797">
        <f t="shared" si="122"/>
        <v>7913.6543828078138</v>
      </c>
      <c r="F328" s="797">
        <f t="shared" si="122"/>
        <v>14713.089742586651</v>
      </c>
      <c r="G328" s="797">
        <f t="shared" si="122"/>
        <v>10947.239391805544</v>
      </c>
      <c r="H328" s="797">
        <f t="shared" si="122"/>
        <v>0</v>
      </c>
      <c r="I328" s="836">
        <f t="shared" si="118"/>
        <v>974923</v>
      </c>
      <c r="J328" s="797">
        <v>46</v>
      </c>
      <c r="K328" s="797">
        <f t="shared" si="119"/>
        <v>21193.978260869564</v>
      </c>
      <c r="L328" s="698"/>
      <c r="M328" s="698"/>
      <c r="N328" s="189" t="s">
        <v>1371</v>
      </c>
      <c r="O328" s="810">
        <f t="shared" si="123"/>
        <v>41056</v>
      </c>
      <c r="P328" s="810">
        <v>41059</v>
      </c>
      <c r="Q328" s="811" t="s">
        <v>1010</v>
      </c>
      <c r="R328" s="304">
        <v>46</v>
      </c>
      <c r="S328" s="255">
        <v>19937.945495836488</v>
      </c>
      <c r="T328" s="8">
        <f t="shared" si="120"/>
        <v>917145.49280847842</v>
      </c>
      <c r="U328" s="452"/>
      <c r="V328" s="812"/>
      <c r="W328" s="840"/>
      <c r="X328" s="840"/>
      <c r="Y328" s="8">
        <f t="shared" si="121"/>
        <v>0</v>
      </c>
    </row>
    <row r="329" spans="1:25">
      <c r="A329" s="835">
        <f t="shared" si="109"/>
        <v>131</v>
      </c>
      <c r="B329" s="297" t="s">
        <v>1180</v>
      </c>
      <c r="C329" s="864">
        <f t="shared" si="116"/>
        <v>2061492</v>
      </c>
      <c r="D329" s="797">
        <f t="shared" ref="D329:H338" si="124">IF($J$371&lt;&gt;0,D$371/$J$371*$J329,0)</f>
        <v>115231.5937720053</v>
      </c>
      <c r="E329" s="797">
        <f t="shared" si="124"/>
        <v>37675.876300758937</v>
      </c>
      <c r="F329" s="797">
        <f t="shared" si="124"/>
        <v>70047.101165792978</v>
      </c>
      <c r="G329" s="797">
        <f t="shared" si="124"/>
        <v>52118.378843595965</v>
      </c>
      <c r="H329" s="797">
        <f t="shared" si="124"/>
        <v>0</v>
      </c>
      <c r="I329" s="836">
        <f t="shared" si="118"/>
        <v>2336565</v>
      </c>
      <c r="J329" s="797">
        <v>219</v>
      </c>
      <c r="K329" s="797">
        <f t="shared" si="119"/>
        <v>10669.246575342466</v>
      </c>
      <c r="L329" s="698"/>
      <c r="M329" s="698"/>
      <c r="N329" s="192" t="s">
        <v>1408</v>
      </c>
      <c r="O329" s="810">
        <f t="shared" si="123"/>
        <v>41056</v>
      </c>
      <c r="P329" s="810">
        <v>41059</v>
      </c>
      <c r="Q329" s="811" t="s">
        <v>1011</v>
      </c>
      <c r="R329" s="862">
        <f>J329+3</f>
        <v>222</v>
      </c>
      <c r="S329" s="252">
        <v>9286</v>
      </c>
      <c r="T329" s="8">
        <f t="shared" si="120"/>
        <v>2061492</v>
      </c>
      <c r="U329" s="452"/>
      <c r="V329" s="812"/>
      <c r="W329" s="840"/>
      <c r="X329" s="840"/>
      <c r="Y329" s="8">
        <f t="shared" si="121"/>
        <v>0</v>
      </c>
    </row>
    <row r="330" spans="1:25">
      <c r="A330" s="835">
        <f t="shared" ref="A330:A369" si="125">IF(B330&lt;&gt;"",A329+1,"")</f>
        <v>132</v>
      </c>
      <c r="B330" s="297" t="s">
        <v>1121</v>
      </c>
      <c r="C330" s="864">
        <f>T330</f>
        <v>3148730</v>
      </c>
      <c r="D330" s="797">
        <f t="shared" si="124"/>
        <v>256771.77059697986</v>
      </c>
      <c r="E330" s="797">
        <f t="shared" si="124"/>
        <v>83953.550843700286</v>
      </c>
      <c r="F330" s="797">
        <f t="shared" si="124"/>
        <v>156086.69118222361</v>
      </c>
      <c r="G330" s="797">
        <f t="shared" si="124"/>
        <v>116135.93093915448</v>
      </c>
      <c r="H330" s="797">
        <f t="shared" si="124"/>
        <v>0</v>
      </c>
      <c r="I330" s="836">
        <f t="shared" si="118"/>
        <v>3761678</v>
      </c>
      <c r="J330" s="797">
        <v>488</v>
      </c>
      <c r="K330" s="797">
        <f t="shared" si="119"/>
        <v>7708.3565573770493</v>
      </c>
      <c r="L330" s="698"/>
      <c r="M330" s="698"/>
      <c r="N330" s="192" t="s">
        <v>1431</v>
      </c>
      <c r="O330" s="810">
        <f t="shared" si="123"/>
        <v>41057</v>
      </c>
      <c r="P330" s="810">
        <v>41060</v>
      </c>
      <c r="Q330" s="811" t="s">
        <v>1013</v>
      </c>
      <c r="R330" s="304">
        <v>265</v>
      </c>
      <c r="S330" s="255">
        <v>11882</v>
      </c>
      <c r="T330" s="8">
        <f t="shared" si="120"/>
        <v>3148730</v>
      </c>
      <c r="U330" s="452"/>
      <c r="V330" s="812"/>
      <c r="W330" s="840"/>
      <c r="X330" s="840"/>
      <c r="Y330" s="8">
        <f t="shared" si="121"/>
        <v>0</v>
      </c>
    </row>
    <row r="331" spans="1:25">
      <c r="A331" s="835">
        <f t="shared" si="125"/>
        <v>133</v>
      </c>
      <c r="B331" s="297" t="s">
        <v>551</v>
      </c>
      <c r="C331" s="864">
        <f>T331</f>
        <v>9122000</v>
      </c>
      <c r="D331" s="797">
        <f t="shared" si="124"/>
        <v>1578514.983178155</v>
      </c>
      <c r="E331" s="797">
        <f t="shared" si="124"/>
        <v>516107.89453094435</v>
      </c>
      <c r="F331" s="797">
        <f t="shared" si="124"/>
        <v>959549.3310382599</v>
      </c>
      <c r="G331" s="797">
        <f t="shared" si="124"/>
        <v>713950.39511775295</v>
      </c>
      <c r="H331" s="797">
        <f t="shared" si="124"/>
        <v>0</v>
      </c>
      <c r="I331" s="836">
        <f t="shared" si="118"/>
        <v>12890123</v>
      </c>
      <c r="J331" s="797">
        <v>3000</v>
      </c>
      <c r="K331" s="797">
        <f t="shared" si="119"/>
        <v>4296.7076666666662</v>
      </c>
      <c r="L331" s="848"/>
      <c r="M331" s="698"/>
      <c r="N331" s="192" t="s">
        <v>1422</v>
      </c>
      <c r="O331" s="810">
        <f t="shared" si="123"/>
        <v>41057</v>
      </c>
      <c r="P331" s="810">
        <v>41060</v>
      </c>
      <c r="Q331" s="811" t="s">
        <v>1014</v>
      </c>
      <c r="R331" s="304">
        <v>1000</v>
      </c>
      <c r="S331" s="255">
        <v>9122</v>
      </c>
      <c r="T331" s="8">
        <f t="shared" si="120"/>
        <v>9122000</v>
      </c>
      <c r="U331" s="452"/>
      <c r="V331" s="812"/>
      <c r="W331" s="840"/>
      <c r="X331" s="840"/>
      <c r="Y331" s="8">
        <f t="shared" si="121"/>
        <v>0</v>
      </c>
    </row>
    <row r="332" spans="1:25">
      <c r="A332" s="835">
        <f t="shared" si="125"/>
        <v>134</v>
      </c>
      <c r="B332" s="297" t="s">
        <v>552</v>
      </c>
      <c r="C332" s="864">
        <f t="shared" si="82"/>
        <v>5981220</v>
      </c>
      <c r="D332" s="797">
        <f t="shared" si="124"/>
        <v>287289.72693842422</v>
      </c>
      <c r="E332" s="797">
        <f t="shared" si="124"/>
        <v>93931.636804631868</v>
      </c>
      <c r="F332" s="797">
        <f t="shared" si="124"/>
        <v>174637.97824896331</v>
      </c>
      <c r="G332" s="797">
        <f t="shared" si="124"/>
        <v>129938.97191143103</v>
      </c>
      <c r="H332" s="797">
        <f t="shared" si="124"/>
        <v>0</v>
      </c>
      <c r="I332" s="836">
        <f t="shared" si="80"/>
        <v>6667018</v>
      </c>
      <c r="J332" s="797">
        <v>546</v>
      </c>
      <c r="K332" s="797">
        <f t="shared" si="92"/>
        <v>12210.655677655677</v>
      </c>
      <c r="L332" s="698"/>
      <c r="M332" s="698"/>
      <c r="N332" s="192" t="s">
        <v>1325</v>
      </c>
      <c r="O332" s="810">
        <f t="shared" si="123"/>
        <v>41057</v>
      </c>
      <c r="P332" s="810">
        <v>41060</v>
      </c>
      <c r="Q332" s="811" t="s">
        <v>1016</v>
      </c>
      <c r="R332" s="304">
        <v>282</v>
      </c>
      <c r="S332" s="255">
        <v>21210</v>
      </c>
      <c r="T332" s="8">
        <f t="shared" si="93"/>
        <v>5981220</v>
      </c>
      <c r="U332" s="452"/>
      <c r="V332" s="812"/>
      <c r="W332" s="840"/>
      <c r="X332" s="840"/>
      <c r="Y332" s="8">
        <f t="shared" si="94"/>
        <v>0</v>
      </c>
    </row>
    <row r="333" spans="1:25">
      <c r="A333" s="835">
        <f t="shared" si="125"/>
        <v>135</v>
      </c>
      <c r="B333" s="297" t="s">
        <v>1178</v>
      </c>
      <c r="C333" s="864">
        <f t="shared" si="82"/>
        <v>3567420</v>
      </c>
      <c r="D333" s="797">
        <f t="shared" si="124"/>
        <v>326226.42985681869</v>
      </c>
      <c r="E333" s="797">
        <f t="shared" si="124"/>
        <v>106662.29820306183</v>
      </c>
      <c r="F333" s="797">
        <f t="shared" si="124"/>
        <v>198306.86174790704</v>
      </c>
      <c r="G333" s="797">
        <f t="shared" si="124"/>
        <v>147549.74832433561</v>
      </c>
      <c r="H333" s="797">
        <f t="shared" si="124"/>
        <v>0</v>
      </c>
      <c r="I333" s="836">
        <f t="shared" si="80"/>
        <v>4346165</v>
      </c>
      <c r="J333" s="797">
        <v>620</v>
      </c>
      <c r="K333" s="797">
        <f t="shared" si="92"/>
        <v>7009.9435483870966</v>
      </c>
      <c r="L333" s="698"/>
      <c r="M333" s="698"/>
      <c r="N333" s="192" t="s">
        <v>1394</v>
      </c>
      <c r="O333" s="810">
        <f t="shared" si="123"/>
        <v>41058</v>
      </c>
      <c r="P333" s="810">
        <v>41061</v>
      </c>
      <c r="Q333" s="811" t="s">
        <v>1017</v>
      </c>
      <c r="R333" s="304">
        <v>180</v>
      </c>
      <c r="S333" s="842">
        <v>19819</v>
      </c>
      <c r="T333" s="8">
        <f t="shared" si="93"/>
        <v>3567420</v>
      </c>
      <c r="U333" s="452"/>
      <c r="V333" s="812"/>
      <c r="W333" s="840"/>
      <c r="X333" s="840"/>
      <c r="Y333" s="8">
        <f t="shared" si="94"/>
        <v>0</v>
      </c>
    </row>
    <row r="334" spans="1:25">
      <c r="A334" s="835">
        <f t="shared" si="125"/>
        <v>136</v>
      </c>
      <c r="B334" s="297" t="s">
        <v>1177</v>
      </c>
      <c r="C334" s="864">
        <f t="shared" si="82"/>
        <v>1186600</v>
      </c>
      <c r="D334" s="797">
        <f t="shared" si="124"/>
        <v>103129.64556763945</v>
      </c>
      <c r="E334" s="797">
        <f t="shared" si="124"/>
        <v>33719.04910935503</v>
      </c>
      <c r="F334" s="797">
        <f t="shared" si="124"/>
        <v>62690.556294499649</v>
      </c>
      <c r="G334" s="797">
        <f t="shared" si="124"/>
        <v>46644.759147693192</v>
      </c>
      <c r="H334" s="797">
        <f t="shared" si="124"/>
        <v>0</v>
      </c>
      <c r="I334" s="836">
        <f t="shared" si="80"/>
        <v>1432784</v>
      </c>
      <c r="J334" s="797">
        <v>196</v>
      </c>
      <c r="K334" s="797">
        <f t="shared" si="92"/>
        <v>7310.1224489795923</v>
      </c>
      <c r="L334" s="698"/>
      <c r="M334" s="698"/>
      <c r="N334" s="192" t="s">
        <v>1390</v>
      </c>
      <c r="O334" s="810">
        <f t="shared" si="123"/>
        <v>41058</v>
      </c>
      <c r="P334" s="810">
        <v>41061</v>
      </c>
      <c r="Q334" s="811" t="s">
        <v>1017</v>
      </c>
      <c r="R334" s="304">
        <v>100</v>
      </c>
      <c r="S334" s="252">
        <v>11866</v>
      </c>
      <c r="T334" s="8">
        <f t="shared" si="93"/>
        <v>1186600</v>
      </c>
      <c r="U334" s="452"/>
      <c r="V334" s="812"/>
      <c r="W334" s="840"/>
      <c r="X334" s="840"/>
      <c r="Y334" s="8">
        <f t="shared" si="94"/>
        <v>0</v>
      </c>
    </row>
    <row r="335" spans="1:25">
      <c r="A335" s="835">
        <f t="shared" si="125"/>
        <v>137</v>
      </c>
      <c r="B335" s="297" t="s">
        <v>1145</v>
      </c>
      <c r="C335" s="864">
        <f t="shared" si="82"/>
        <v>4393440</v>
      </c>
      <c r="D335" s="797">
        <f t="shared" si="124"/>
        <v>237829.59079884202</v>
      </c>
      <c r="E335" s="797">
        <f t="shared" si="124"/>
        <v>77760.256109328955</v>
      </c>
      <c r="F335" s="797">
        <f t="shared" si="124"/>
        <v>144572.09920976448</v>
      </c>
      <c r="G335" s="797">
        <f t="shared" si="124"/>
        <v>107568.52619774143</v>
      </c>
      <c r="H335" s="797">
        <f t="shared" si="124"/>
        <v>0</v>
      </c>
      <c r="I335" s="836">
        <f t="shared" si="80"/>
        <v>4961170</v>
      </c>
      <c r="J335" s="797">
        <v>452</v>
      </c>
      <c r="K335" s="797">
        <f t="shared" si="92"/>
        <v>10976.03982300885</v>
      </c>
      <c r="L335" s="698"/>
      <c r="M335" s="698"/>
      <c r="N335" s="192" t="s">
        <v>1298</v>
      </c>
      <c r="O335" s="810">
        <f t="shared" si="123"/>
        <v>41068</v>
      </c>
      <c r="P335" s="810">
        <v>41071</v>
      </c>
      <c r="Q335" s="811" t="s">
        <v>1019</v>
      </c>
      <c r="R335" s="304">
        <v>240</v>
      </c>
      <c r="S335" s="842">
        <v>18306</v>
      </c>
      <c r="T335" s="8">
        <f t="shared" si="93"/>
        <v>4393440</v>
      </c>
      <c r="U335" s="452"/>
      <c r="V335" s="812"/>
      <c r="W335" s="840"/>
      <c r="X335" s="840"/>
      <c r="Y335" s="8">
        <f t="shared" si="94"/>
        <v>0</v>
      </c>
    </row>
    <row r="336" spans="1:25">
      <c r="A336" s="835">
        <f t="shared" si="125"/>
        <v>138</v>
      </c>
      <c r="B336" s="297" t="s">
        <v>1220</v>
      </c>
      <c r="C336" s="864">
        <f t="shared" si="82"/>
        <v>990950</v>
      </c>
      <c r="D336" s="797">
        <f t="shared" si="124"/>
        <v>94710.898990689297</v>
      </c>
      <c r="E336" s="797">
        <f t="shared" si="124"/>
        <v>30966.47367185666</v>
      </c>
      <c r="F336" s="797">
        <f t="shared" si="124"/>
        <v>57572.959862295596</v>
      </c>
      <c r="G336" s="797">
        <f t="shared" si="124"/>
        <v>42837.023707065178</v>
      </c>
      <c r="H336" s="797">
        <f t="shared" si="124"/>
        <v>0</v>
      </c>
      <c r="I336" s="836">
        <f t="shared" si="80"/>
        <v>1217037</v>
      </c>
      <c r="J336" s="797">
        <v>180</v>
      </c>
      <c r="K336" s="797">
        <f t="shared" si="92"/>
        <v>6761.3166666666666</v>
      </c>
      <c r="L336" s="698"/>
      <c r="M336" s="698"/>
      <c r="N336" s="192" t="s">
        <v>1394</v>
      </c>
      <c r="O336" s="810">
        <f t="shared" si="123"/>
        <v>41068</v>
      </c>
      <c r="P336" s="810">
        <v>41071</v>
      </c>
      <c r="Q336" s="811" t="s">
        <v>1019</v>
      </c>
      <c r="R336" s="304">
        <v>50</v>
      </c>
      <c r="S336" s="842">
        <v>19819</v>
      </c>
      <c r="T336" s="8">
        <f t="shared" si="93"/>
        <v>990950</v>
      </c>
      <c r="U336" s="452"/>
      <c r="V336" s="812"/>
      <c r="W336" s="840"/>
      <c r="X336" s="840"/>
      <c r="Y336" s="8">
        <f t="shared" si="94"/>
        <v>0</v>
      </c>
    </row>
    <row r="337" spans="1:25">
      <c r="A337" s="835">
        <f t="shared" si="125"/>
        <v>139</v>
      </c>
      <c r="B337" s="297" t="s">
        <v>1150</v>
      </c>
      <c r="C337" s="864">
        <f t="shared" si="82"/>
        <v>1189140</v>
      </c>
      <c r="D337" s="797">
        <f t="shared" si="124"/>
        <v>108391.36217823331</v>
      </c>
      <c r="E337" s="797">
        <f t="shared" si="124"/>
        <v>35439.408757791512</v>
      </c>
      <c r="F337" s="797">
        <f t="shared" si="124"/>
        <v>65889.054064627184</v>
      </c>
      <c r="G337" s="797">
        <f t="shared" si="124"/>
        <v>49024.593798085698</v>
      </c>
      <c r="H337" s="797">
        <f t="shared" si="124"/>
        <v>0</v>
      </c>
      <c r="I337" s="836">
        <f t="shared" si="80"/>
        <v>1447884</v>
      </c>
      <c r="J337" s="797">
        <v>206</v>
      </c>
      <c r="K337" s="797">
        <f t="shared" si="92"/>
        <v>7028.5631067961167</v>
      </c>
      <c r="L337" s="698"/>
      <c r="M337" s="698"/>
      <c r="N337" s="192" t="s">
        <v>1394</v>
      </c>
      <c r="O337" s="810">
        <f t="shared" si="123"/>
        <v>41068</v>
      </c>
      <c r="P337" s="810">
        <v>41071</v>
      </c>
      <c r="Q337" s="811" t="s">
        <v>1019</v>
      </c>
      <c r="R337" s="304">
        <v>60</v>
      </c>
      <c r="S337" s="842">
        <v>19819</v>
      </c>
      <c r="T337" s="8">
        <f t="shared" si="93"/>
        <v>1189140</v>
      </c>
      <c r="U337" s="452"/>
      <c r="V337" s="812"/>
      <c r="W337" s="840"/>
      <c r="X337" s="840"/>
      <c r="Y337" s="8">
        <f t="shared" si="94"/>
        <v>0</v>
      </c>
    </row>
    <row r="338" spans="1:25">
      <c r="A338" s="835">
        <f t="shared" si="125"/>
        <v>140</v>
      </c>
      <c r="B338" s="297" t="s">
        <v>1176</v>
      </c>
      <c r="C338" s="864">
        <f t="shared" si="82"/>
        <v>8553195</v>
      </c>
      <c r="D338" s="797">
        <f t="shared" si="124"/>
        <v>1168101.0875518345</v>
      </c>
      <c r="E338" s="797">
        <f t="shared" si="124"/>
        <v>381919.84195289883</v>
      </c>
      <c r="F338" s="797">
        <f t="shared" si="124"/>
        <v>710066.50496831234</v>
      </c>
      <c r="G338" s="797">
        <f t="shared" si="124"/>
        <v>528323.29238713719</v>
      </c>
      <c r="H338" s="797">
        <f t="shared" si="124"/>
        <v>0</v>
      </c>
      <c r="I338" s="836">
        <f t="shared" si="80"/>
        <v>11341606</v>
      </c>
      <c r="J338" s="797">
        <v>2220</v>
      </c>
      <c r="K338" s="797">
        <f t="shared" si="92"/>
        <v>5108.8315315315313</v>
      </c>
      <c r="L338" s="698"/>
      <c r="M338" s="698"/>
      <c r="N338" s="192" t="s">
        <v>1316</v>
      </c>
      <c r="O338" s="810">
        <f t="shared" si="123"/>
        <v>41069</v>
      </c>
      <c r="P338" s="810">
        <v>41072</v>
      </c>
      <c r="Q338" s="811" t="s">
        <v>1020</v>
      </c>
      <c r="R338" s="304">
        <v>405</v>
      </c>
      <c r="S338" s="252">
        <v>21119</v>
      </c>
      <c r="T338" s="8">
        <f t="shared" si="93"/>
        <v>8553195</v>
      </c>
      <c r="U338" s="452"/>
      <c r="V338" s="812"/>
      <c r="W338" s="840"/>
      <c r="X338" s="840"/>
      <c r="Y338" s="8">
        <f t="shared" si="94"/>
        <v>0</v>
      </c>
    </row>
    <row r="339" spans="1:25">
      <c r="A339" s="835">
        <f t="shared" si="125"/>
        <v>141</v>
      </c>
      <c r="B339" s="297" t="s">
        <v>1175</v>
      </c>
      <c r="C339" s="864">
        <f t="shared" si="82"/>
        <v>5916212</v>
      </c>
      <c r="D339" s="797">
        <f t="shared" ref="D339:H348" si="126">IF($J$371&lt;&gt;0,D$371/$J$371*$J339,0)</f>
        <v>584050.54377591726</v>
      </c>
      <c r="E339" s="797">
        <f t="shared" si="126"/>
        <v>190959.92097644942</v>
      </c>
      <c r="F339" s="797">
        <f t="shared" si="126"/>
        <v>355033.25248415617</v>
      </c>
      <c r="G339" s="797">
        <f t="shared" si="126"/>
        <v>264161.64619356859</v>
      </c>
      <c r="H339" s="797">
        <f t="shared" si="126"/>
        <v>0</v>
      </c>
      <c r="I339" s="836">
        <f t="shared" si="80"/>
        <v>7310417</v>
      </c>
      <c r="J339" s="797">
        <v>1110</v>
      </c>
      <c r="K339" s="797">
        <f t="shared" si="92"/>
        <v>6585.9612612612609</v>
      </c>
      <c r="L339" s="698"/>
      <c r="M339" s="698"/>
      <c r="N339" s="192" t="s">
        <v>1439</v>
      </c>
      <c r="O339" s="810">
        <f t="shared" si="123"/>
        <v>41069</v>
      </c>
      <c r="P339" s="810">
        <v>41072</v>
      </c>
      <c r="Q339" s="811" t="s">
        <v>1021</v>
      </c>
      <c r="R339" s="304">
        <v>292</v>
      </c>
      <c r="S339" s="842">
        <v>20261</v>
      </c>
      <c r="T339" s="8">
        <f t="shared" si="93"/>
        <v>5916212</v>
      </c>
      <c r="U339" s="452"/>
      <c r="V339" s="812"/>
      <c r="W339" s="840"/>
      <c r="X339" s="840"/>
      <c r="Y339" s="8">
        <f t="shared" si="94"/>
        <v>0</v>
      </c>
    </row>
    <row r="340" spans="1:25">
      <c r="A340" s="835">
        <f t="shared" si="125"/>
        <v>142</v>
      </c>
      <c r="B340" s="297" t="s">
        <v>1174</v>
      </c>
      <c r="C340" s="864">
        <f t="shared" si="82"/>
        <v>5376000</v>
      </c>
      <c r="D340" s="797">
        <f t="shared" si="126"/>
        <v>531433.37766997877</v>
      </c>
      <c r="E340" s="797">
        <f t="shared" si="126"/>
        <v>173756.32449208459</v>
      </c>
      <c r="F340" s="797">
        <f t="shared" si="126"/>
        <v>323048.27478288085</v>
      </c>
      <c r="G340" s="797">
        <f t="shared" si="126"/>
        <v>240363.29968964349</v>
      </c>
      <c r="H340" s="797">
        <f t="shared" si="126"/>
        <v>0</v>
      </c>
      <c r="I340" s="836">
        <f t="shared" si="80"/>
        <v>6644601</v>
      </c>
      <c r="J340" s="797">
        <v>1010</v>
      </c>
      <c r="K340" s="797">
        <f t="shared" si="92"/>
        <v>6578.8128712871285</v>
      </c>
      <c r="L340" s="698"/>
      <c r="M340" s="698"/>
      <c r="N340" s="192" t="s">
        <v>1427</v>
      </c>
      <c r="O340" s="810">
        <f t="shared" si="123"/>
        <v>41080</v>
      </c>
      <c r="P340" s="810">
        <v>41083</v>
      </c>
      <c r="Q340" s="811" t="s">
        <v>1023</v>
      </c>
      <c r="R340" s="304">
        <v>500</v>
      </c>
      <c r="S340" s="255">
        <v>10752</v>
      </c>
      <c r="T340" s="8">
        <f t="shared" si="93"/>
        <v>5376000</v>
      </c>
      <c r="U340" s="452"/>
      <c r="V340" s="812"/>
      <c r="W340" s="840"/>
      <c r="X340" s="840"/>
      <c r="Y340" s="8">
        <f t="shared" si="94"/>
        <v>0</v>
      </c>
    </row>
    <row r="341" spans="1:25">
      <c r="A341" s="835">
        <f t="shared" si="125"/>
        <v>143</v>
      </c>
      <c r="B341" s="297" t="s">
        <v>1173</v>
      </c>
      <c r="C341" s="864">
        <f t="shared" si="82"/>
        <v>13826880</v>
      </c>
      <c r="D341" s="797">
        <f t="shared" si="126"/>
        <v>991307.4094358813</v>
      </c>
      <c r="E341" s="797">
        <f t="shared" si="126"/>
        <v>324115.75776543305</v>
      </c>
      <c r="F341" s="797">
        <f t="shared" si="126"/>
        <v>602596.97989202722</v>
      </c>
      <c r="G341" s="797">
        <f t="shared" si="126"/>
        <v>448360.84813394881</v>
      </c>
      <c r="H341" s="797">
        <f t="shared" si="126"/>
        <v>0</v>
      </c>
      <c r="I341" s="836">
        <f t="shared" si="80"/>
        <v>16193261</v>
      </c>
      <c r="J341" s="797">
        <v>1884</v>
      </c>
      <c r="K341" s="797">
        <f t="shared" si="92"/>
        <v>8595.1491507431001</v>
      </c>
      <c r="L341" s="698"/>
      <c r="M341" s="698"/>
      <c r="N341" s="192" t="s">
        <v>1334</v>
      </c>
      <c r="O341" s="810">
        <f t="shared" si="123"/>
        <v>41083</v>
      </c>
      <c r="P341" s="810">
        <v>41086</v>
      </c>
      <c r="Q341" s="811" t="s">
        <v>1024</v>
      </c>
      <c r="R341" s="304">
        <v>960</v>
      </c>
      <c r="S341" s="255">
        <v>14403</v>
      </c>
      <c r="T341" s="8">
        <f t="shared" si="93"/>
        <v>13826880</v>
      </c>
      <c r="U341" s="452"/>
      <c r="V341" s="812"/>
      <c r="W341" s="840"/>
      <c r="X341" s="840"/>
      <c r="Y341" s="8">
        <f t="shared" si="94"/>
        <v>0</v>
      </c>
    </row>
    <row r="342" spans="1:25">
      <c r="A342" s="835">
        <f t="shared" si="125"/>
        <v>144</v>
      </c>
      <c r="B342" s="297" t="s">
        <v>1172</v>
      </c>
      <c r="C342" s="864">
        <f t="shared" si="82"/>
        <v>4558499.038461539</v>
      </c>
      <c r="D342" s="797">
        <f t="shared" si="126"/>
        <v>265716.68883498939</v>
      </c>
      <c r="E342" s="797">
        <f t="shared" si="126"/>
        <v>86878.162246042295</v>
      </c>
      <c r="F342" s="797">
        <f t="shared" si="126"/>
        <v>161524.13739144042</v>
      </c>
      <c r="G342" s="797">
        <f t="shared" si="126"/>
        <v>120181.64984482175</v>
      </c>
      <c r="H342" s="797">
        <f t="shared" si="126"/>
        <v>0</v>
      </c>
      <c r="I342" s="836">
        <f t="shared" si="80"/>
        <v>5192800</v>
      </c>
      <c r="J342" s="797">
        <v>505</v>
      </c>
      <c r="K342" s="797">
        <f t="shared" si="92"/>
        <v>10282.772277227723</v>
      </c>
      <c r="L342" s="698"/>
      <c r="M342" s="698"/>
      <c r="N342" s="192" t="s">
        <v>1385</v>
      </c>
      <c r="O342" s="810">
        <f t="shared" si="123"/>
        <v>41083</v>
      </c>
      <c r="P342" s="810">
        <v>41086</v>
      </c>
      <c r="Q342" s="811" t="s">
        <v>1025</v>
      </c>
      <c r="R342" s="304">
        <v>505</v>
      </c>
      <c r="S342" s="255">
        <v>9026.7307692307695</v>
      </c>
      <c r="T342" s="8">
        <f t="shared" si="93"/>
        <v>4558499.038461539</v>
      </c>
      <c r="U342" s="452"/>
      <c r="V342" s="812"/>
      <c r="W342" s="840"/>
      <c r="X342" s="840"/>
      <c r="Y342" s="8">
        <f t="shared" si="94"/>
        <v>0</v>
      </c>
    </row>
    <row r="343" spans="1:25">
      <c r="A343" s="835">
        <f t="shared" si="125"/>
        <v>145</v>
      </c>
      <c r="B343" s="297" t="s">
        <v>1171</v>
      </c>
      <c r="C343" s="864">
        <f t="shared" si="82"/>
        <v>13250680</v>
      </c>
      <c r="D343" s="797">
        <f t="shared" si="126"/>
        <v>518279.08614349418</v>
      </c>
      <c r="E343" s="797">
        <f t="shared" si="126"/>
        <v>169455.42537099338</v>
      </c>
      <c r="F343" s="797">
        <f t="shared" si="126"/>
        <v>315052.03035756201</v>
      </c>
      <c r="G343" s="797">
        <f t="shared" si="126"/>
        <v>234413.7130636622</v>
      </c>
      <c r="H343" s="797">
        <f t="shared" si="126"/>
        <v>0</v>
      </c>
      <c r="I343" s="836">
        <f t="shared" si="80"/>
        <v>14487880</v>
      </c>
      <c r="J343" s="797">
        <v>985</v>
      </c>
      <c r="K343" s="797">
        <f t="shared" si="92"/>
        <v>14708.507614213198</v>
      </c>
      <c r="L343" s="698"/>
      <c r="M343" s="698"/>
      <c r="N343" s="192" t="s">
        <v>1269</v>
      </c>
      <c r="O343" s="810">
        <f t="shared" si="123"/>
        <v>41083</v>
      </c>
      <c r="P343" s="810">
        <v>41086</v>
      </c>
      <c r="Q343" s="811" t="s">
        <v>1025</v>
      </c>
      <c r="R343" s="8">
        <v>580</v>
      </c>
      <c r="S343" s="293">
        <v>22846</v>
      </c>
      <c r="T343" s="8">
        <f t="shared" si="93"/>
        <v>13250680</v>
      </c>
      <c r="U343" s="452"/>
      <c r="V343" s="812"/>
      <c r="W343" s="840"/>
      <c r="X343" s="840"/>
      <c r="Y343" s="8">
        <f t="shared" si="94"/>
        <v>0</v>
      </c>
    </row>
    <row r="344" spans="1:25">
      <c r="A344" s="835">
        <f t="shared" si="125"/>
        <v>146</v>
      </c>
      <c r="B344" s="297" t="s">
        <v>1496</v>
      </c>
      <c r="C344" s="864">
        <f t="shared" si="82"/>
        <v>2263450</v>
      </c>
      <c r="D344" s="797">
        <f t="shared" si="126"/>
        <v>105760.50387293637</v>
      </c>
      <c r="E344" s="797">
        <f t="shared" si="126"/>
        <v>34579.228933573271</v>
      </c>
      <c r="F344" s="797">
        <f t="shared" si="126"/>
        <v>64289.805179563409</v>
      </c>
      <c r="G344" s="797">
        <f t="shared" si="126"/>
        <v>47834.676472889449</v>
      </c>
      <c r="H344" s="797">
        <f t="shared" si="126"/>
        <v>0</v>
      </c>
      <c r="I344" s="836">
        <f t="shared" si="80"/>
        <v>2515914</v>
      </c>
      <c r="J344" s="797">
        <v>201</v>
      </c>
      <c r="K344" s="797">
        <f t="shared" si="92"/>
        <v>12516.985074626866</v>
      </c>
      <c r="L344" s="698"/>
      <c r="M344" s="698"/>
      <c r="N344" s="192" t="s">
        <v>1283</v>
      </c>
      <c r="O344" s="810">
        <f t="shared" si="123"/>
        <v>41083</v>
      </c>
      <c r="P344" s="810">
        <v>41086</v>
      </c>
      <c r="Q344" s="811" t="s">
        <v>1027</v>
      </c>
      <c r="R344" s="304">
        <v>203</v>
      </c>
      <c r="S344" s="255">
        <v>11150</v>
      </c>
      <c r="T344" s="8">
        <f t="shared" si="93"/>
        <v>2263450</v>
      </c>
      <c r="U344" s="452"/>
      <c r="V344" s="812"/>
      <c r="W344" s="840"/>
      <c r="X344" s="840"/>
      <c r="Y344" s="8">
        <f t="shared" si="94"/>
        <v>0</v>
      </c>
    </row>
    <row r="345" spans="1:25">
      <c r="A345" s="835">
        <f t="shared" si="125"/>
        <v>147</v>
      </c>
      <c r="B345" s="297" t="s">
        <v>1510</v>
      </c>
      <c r="C345" s="864">
        <f t="shared" si="82"/>
        <v>1056258</v>
      </c>
      <c r="D345" s="797">
        <f t="shared" si="126"/>
        <v>39462.87457945387</v>
      </c>
      <c r="E345" s="797">
        <f t="shared" si="126"/>
        <v>12902.697363273608</v>
      </c>
      <c r="F345" s="797">
        <f t="shared" si="126"/>
        <v>23988.733275956496</v>
      </c>
      <c r="G345" s="797">
        <f t="shared" si="126"/>
        <v>17848.759877943823</v>
      </c>
      <c r="H345" s="797">
        <f t="shared" si="126"/>
        <v>0</v>
      </c>
      <c r="I345" s="836">
        <f t="shared" si="80"/>
        <v>1150461</v>
      </c>
      <c r="J345" s="797">
        <v>75</v>
      </c>
      <c r="K345" s="797">
        <f t="shared" si="92"/>
        <v>15339.48</v>
      </c>
      <c r="L345" s="698"/>
      <c r="M345" s="698"/>
      <c r="N345" s="192" t="s">
        <v>1328</v>
      </c>
      <c r="O345" s="810">
        <f t="shared" si="123"/>
        <v>41083</v>
      </c>
      <c r="P345" s="810">
        <v>41086</v>
      </c>
      <c r="Q345" s="811" t="s">
        <v>1027</v>
      </c>
      <c r="R345" s="304">
        <v>42</v>
      </c>
      <c r="S345" s="252">
        <v>25149</v>
      </c>
      <c r="T345" s="8">
        <f t="shared" si="93"/>
        <v>1056258</v>
      </c>
      <c r="U345" s="452"/>
      <c r="V345" s="812"/>
      <c r="W345" s="840"/>
      <c r="X345" s="840"/>
      <c r="Y345" s="8">
        <f t="shared" si="94"/>
        <v>0</v>
      </c>
    </row>
    <row r="346" spans="1:25">
      <c r="A346" s="835">
        <f t="shared" si="125"/>
        <v>148</v>
      </c>
      <c r="B346" s="297" t="s">
        <v>1526</v>
      </c>
      <c r="C346" s="864">
        <f t="shared" si="82"/>
        <v>3284490.2400000002</v>
      </c>
      <c r="D346" s="797">
        <f t="shared" si="126"/>
        <v>116283.93709412408</v>
      </c>
      <c r="E346" s="797">
        <f t="shared" si="126"/>
        <v>38019.948230446236</v>
      </c>
      <c r="F346" s="797">
        <f t="shared" si="126"/>
        <v>70686.800719818479</v>
      </c>
      <c r="G346" s="797">
        <f t="shared" si="126"/>
        <v>52594.345773674468</v>
      </c>
      <c r="H346" s="797">
        <f t="shared" si="126"/>
        <v>0</v>
      </c>
      <c r="I346" s="836">
        <f t="shared" si="80"/>
        <v>3562075</v>
      </c>
      <c r="J346" s="797">
        <v>221</v>
      </c>
      <c r="K346" s="797">
        <f t="shared" si="92"/>
        <v>16117.986425339366</v>
      </c>
      <c r="L346" s="698"/>
      <c r="M346" s="698"/>
      <c r="N346" s="192" t="s">
        <v>787</v>
      </c>
      <c r="O346" s="810">
        <f t="shared" si="123"/>
        <v>41083</v>
      </c>
      <c r="P346" s="810">
        <v>41086</v>
      </c>
      <c r="Q346" s="811" t="s">
        <v>1027</v>
      </c>
      <c r="R346" s="304">
        <v>227</v>
      </c>
      <c r="S346" s="252">
        <v>14469.12</v>
      </c>
      <c r="T346" s="8">
        <f t="shared" si="93"/>
        <v>3284490.2400000002</v>
      </c>
      <c r="U346" s="452"/>
      <c r="V346" s="812"/>
      <c r="W346" s="840"/>
      <c r="X346" s="840"/>
      <c r="Y346" s="8">
        <f t="shared" si="94"/>
        <v>0</v>
      </c>
    </row>
    <row r="347" spans="1:25">
      <c r="A347" s="835">
        <f t="shared" si="125"/>
        <v>149</v>
      </c>
      <c r="B347" s="297" t="s">
        <v>1538</v>
      </c>
      <c r="C347" s="864">
        <f t="shared" si="82"/>
        <v>1507320</v>
      </c>
      <c r="D347" s="797">
        <f t="shared" si="126"/>
        <v>45250.762851107109</v>
      </c>
      <c r="E347" s="797">
        <f t="shared" si="126"/>
        <v>14795.092976553738</v>
      </c>
      <c r="F347" s="797">
        <f t="shared" si="126"/>
        <v>27507.080823096781</v>
      </c>
      <c r="G347" s="797">
        <f t="shared" si="126"/>
        <v>20466.577993375584</v>
      </c>
      <c r="H347" s="797">
        <f t="shared" si="126"/>
        <v>0</v>
      </c>
      <c r="I347" s="836">
        <f t="shared" si="80"/>
        <v>1615340</v>
      </c>
      <c r="J347" s="797">
        <v>86</v>
      </c>
      <c r="K347" s="797">
        <f t="shared" si="92"/>
        <v>18783.023255813954</v>
      </c>
      <c r="L347" s="698"/>
      <c r="M347" s="698"/>
      <c r="N347" s="192" t="s">
        <v>1447</v>
      </c>
      <c r="O347" s="810">
        <f t="shared" si="123"/>
        <v>41083</v>
      </c>
      <c r="P347" s="810">
        <v>41086</v>
      </c>
      <c r="Q347" s="811" t="s">
        <v>1027</v>
      </c>
      <c r="R347" s="862">
        <v>90</v>
      </c>
      <c r="S347" s="252">
        <v>16748</v>
      </c>
      <c r="T347" s="8">
        <f t="shared" si="93"/>
        <v>1507320</v>
      </c>
      <c r="U347" s="452"/>
      <c r="V347" s="812"/>
      <c r="W347" s="840"/>
      <c r="X347" s="840"/>
      <c r="Y347" s="8">
        <f t="shared" si="94"/>
        <v>0</v>
      </c>
    </row>
    <row r="348" spans="1:25">
      <c r="A348" s="835">
        <f t="shared" si="125"/>
        <v>150</v>
      </c>
      <c r="B348" s="297" t="s">
        <v>1513</v>
      </c>
      <c r="C348" s="864">
        <f t="shared" si="82"/>
        <v>4490460</v>
      </c>
      <c r="D348" s="797">
        <f t="shared" si="126"/>
        <v>163113.21492840935</v>
      </c>
      <c r="E348" s="797">
        <f t="shared" si="126"/>
        <v>53331.149101530915</v>
      </c>
      <c r="F348" s="797">
        <f t="shared" si="126"/>
        <v>99153.430873953519</v>
      </c>
      <c r="G348" s="797">
        <f t="shared" si="126"/>
        <v>73774.874162167805</v>
      </c>
      <c r="H348" s="797">
        <f t="shared" si="126"/>
        <v>0</v>
      </c>
      <c r="I348" s="836">
        <f t="shared" si="80"/>
        <v>4879833</v>
      </c>
      <c r="J348" s="797">
        <v>310</v>
      </c>
      <c r="K348" s="797">
        <f t="shared" si="92"/>
        <v>15741.396774193548</v>
      </c>
      <c r="L348" s="698"/>
      <c r="M348" s="698"/>
      <c r="N348" s="192" t="s">
        <v>1329</v>
      </c>
      <c r="O348" s="810">
        <f t="shared" si="123"/>
        <v>41083</v>
      </c>
      <c r="P348" s="810">
        <v>41086</v>
      </c>
      <c r="Q348" s="811" t="s">
        <v>1027</v>
      </c>
      <c r="R348" s="304">
        <v>195</v>
      </c>
      <c r="S348" s="252">
        <v>23028</v>
      </c>
      <c r="T348" s="8">
        <f t="shared" si="93"/>
        <v>4490460</v>
      </c>
      <c r="U348" s="452"/>
      <c r="V348" s="812"/>
      <c r="W348" s="840"/>
      <c r="X348" s="840"/>
      <c r="Y348" s="8">
        <f t="shared" si="94"/>
        <v>0</v>
      </c>
    </row>
    <row r="349" spans="1:25">
      <c r="A349" s="835">
        <f t="shared" si="125"/>
        <v>151</v>
      </c>
      <c r="B349" s="297" t="s">
        <v>1532</v>
      </c>
      <c r="C349" s="864">
        <f t="shared" si="82"/>
        <v>5787250</v>
      </c>
      <c r="D349" s="797">
        <f t="shared" ref="D349:H358" si="127">IF($J$371&lt;&gt;0,D$371/$J$371*$J349,0)</f>
        <v>125755.02699319301</v>
      </c>
      <c r="E349" s="797">
        <f t="shared" si="127"/>
        <v>41116.595597631902</v>
      </c>
      <c r="F349" s="797">
        <f t="shared" si="127"/>
        <v>76444.096706048033</v>
      </c>
      <c r="G349" s="797">
        <f t="shared" si="127"/>
        <v>56878.048144380984</v>
      </c>
      <c r="H349" s="797">
        <f t="shared" si="127"/>
        <v>0</v>
      </c>
      <c r="I349" s="836">
        <f t="shared" si="80"/>
        <v>6087444</v>
      </c>
      <c r="J349" s="797">
        <v>239</v>
      </c>
      <c r="K349" s="797">
        <f t="shared" si="92"/>
        <v>25470.476987447699</v>
      </c>
      <c r="L349" s="698"/>
      <c r="M349" s="698"/>
      <c r="N349" s="192" t="s">
        <v>1289</v>
      </c>
      <c r="O349" s="810">
        <f t="shared" si="123"/>
        <v>41083</v>
      </c>
      <c r="P349" s="810">
        <v>41086</v>
      </c>
      <c r="Q349" s="811" t="s">
        <v>1027</v>
      </c>
      <c r="R349" s="304">
        <v>250</v>
      </c>
      <c r="S349" s="255">
        <v>23149</v>
      </c>
      <c r="T349" s="8">
        <f t="shared" si="93"/>
        <v>5787250</v>
      </c>
      <c r="U349" s="452"/>
      <c r="V349" s="812"/>
      <c r="W349" s="840"/>
      <c r="X349" s="840"/>
      <c r="Y349" s="8">
        <f t="shared" si="94"/>
        <v>0</v>
      </c>
    </row>
    <row r="350" spans="1:25">
      <c r="A350" s="835">
        <f t="shared" si="125"/>
        <v>152</v>
      </c>
      <c r="B350" s="297" t="s">
        <v>1512</v>
      </c>
      <c r="C350" s="864">
        <f t="shared" si="82"/>
        <v>9026.7307692307695</v>
      </c>
      <c r="D350" s="797">
        <f t="shared" si="127"/>
        <v>526.17166105938497</v>
      </c>
      <c r="E350" s="797">
        <f t="shared" si="127"/>
        <v>172.03596484364812</v>
      </c>
      <c r="F350" s="797">
        <f t="shared" si="127"/>
        <v>319.84977701275329</v>
      </c>
      <c r="G350" s="797">
        <f t="shared" si="127"/>
        <v>237.98346503925097</v>
      </c>
      <c r="H350" s="797">
        <f t="shared" si="127"/>
        <v>0</v>
      </c>
      <c r="I350" s="836">
        <f t="shared" si="80"/>
        <v>10283</v>
      </c>
      <c r="J350" s="797">
        <v>1</v>
      </c>
      <c r="K350" s="797">
        <f t="shared" si="92"/>
        <v>10283</v>
      </c>
      <c r="L350" s="698"/>
      <c r="M350" s="698"/>
      <c r="N350" s="192" t="s">
        <v>1385</v>
      </c>
      <c r="O350" s="810">
        <f t="shared" si="123"/>
        <v>41083</v>
      </c>
      <c r="P350" s="810">
        <v>41086</v>
      </c>
      <c r="Q350" s="811" t="s">
        <v>1027</v>
      </c>
      <c r="R350" s="252">
        <v>1</v>
      </c>
      <c r="S350" s="252">
        <v>9026.7307692307695</v>
      </c>
      <c r="T350" s="8">
        <f t="shared" si="93"/>
        <v>9026.7307692307695</v>
      </c>
      <c r="U350" s="452"/>
      <c r="V350" s="812"/>
      <c r="W350" s="840"/>
      <c r="X350" s="840"/>
      <c r="Y350" s="8">
        <f t="shared" si="94"/>
        <v>0</v>
      </c>
    </row>
    <row r="351" spans="1:25">
      <c r="A351" s="835">
        <f t="shared" si="125"/>
        <v>153</v>
      </c>
      <c r="B351" s="297" t="s">
        <v>1516</v>
      </c>
      <c r="C351" s="864">
        <f t="shared" si="82"/>
        <v>4607720</v>
      </c>
      <c r="D351" s="797">
        <f t="shared" si="127"/>
        <v>136804.6318754401</v>
      </c>
      <c r="E351" s="797">
        <f t="shared" si="127"/>
        <v>44729.350859348509</v>
      </c>
      <c r="F351" s="797">
        <f t="shared" si="127"/>
        <v>83160.94202331586</v>
      </c>
      <c r="G351" s="797">
        <f t="shared" si="127"/>
        <v>61875.700910205254</v>
      </c>
      <c r="H351" s="797">
        <f t="shared" si="127"/>
        <v>0</v>
      </c>
      <c r="I351" s="836">
        <f t="shared" si="80"/>
        <v>4934291</v>
      </c>
      <c r="J351" s="797">
        <v>260</v>
      </c>
      <c r="K351" s="797">
        <f t="shared" si="92"/>
        <v>18978.042307692307</v>
      </c>
      <c r="L351" s="698"/>
      <c r="M351" s="698"/>
      <c r="N351" s="192" t="s">
        <v>1413</v>
      </c>
      <c r="O351" s="810">
        <f t="shared" si="123"/>
        <v>41083</v>
      </c>
      <c r="P351" s="810">
        <v>41086</v>
      </c>
      <c r="Q351" s="811" t="s">
        <v>1027</v>
      </c>
      <c r="R351" s="304">
        <f>J351</f>
        <v>260</v>
      </c>
      <c r="S351" s="842">
        <v>17722</v>
      </c>
      <c r="T351" s="8">
        <f t="shared" si="93"/>
        <v>4607720</v>
      </c>
      <c r="U351" s="452"/>
      <c r="V351" s="812"/>
      <c r="W351" s="840"/>
      <c r="X351" s="840"/>
      <c r="Y351" s="8">
        <f t="shared" si="94"/>
        <v>0</v>
      </c>
    </row>
    <row r="352" spans="1:25">
      <c r="A352" s="835">
        <f t="shared" si="125"/>
        <v>154</v>
      </c>
      <c r="B352" s="297" t="s">
        <v>1523</v>
      </c>
      <c r="C352" s="864">
        <f>T352</f>
        <v>2685367.3</v>
      </c>
      <c r="D352" s="797">
        <f t="shared" si="127"/>
        <v>124176.51201001485</v>
      </c>
      <c r="E352" s="797">
        <f t="shared" si="127"/>
        <v>40600.487703100953</v>
      </c>
      <c r="F352" s="797">
        <f t="shared" si="127"/>
        <v>75484.547375009774</v>
      </c>
      <c r="G352" s="797">
        <f t="shared" si="127"/>
        <v>56164.09774926323</v>
      </c>
      <c r="H352" s="797">
        <f t="shared" si="127"/>
        <v>0</v>
      </c>
      <c r="I352" s="836">
        <f t="shared" si="80"/>
        <v>2981793</v>
      </c>
      <c r="J352" s="797">
        <v>236</v>
      </c>
      <c r="K352" s="797">
        <f t="shared" si="92"/>
        <v>12634.716101694916</v>
      </c>
      <c r="L352" s="698"/>
      <c r="M352" s="698"/>
      <c r="N352" s="192" t="s">
        <v>791</v>
      </c>
      <c r="O352" s="810">
        <f t="shared" si="123"/>
        <v>41083</v>
      </c>
      <c r="P352" s="810">
        <v>41086</v>
      </c>
      <c r="Q352" s="811" t="s">
        <v>1027</v>
      </c>
      <c r="R352" s="304">
        <v>257</v>
      </c>
      <c r="S352" s="255">
        <v>10448.9</v>
      </c>
      <c r="T352" s="8">
        <f t="shared" si="93"/>
        <v>2685367.3</v>
      </c>
      <c r="U352" s="452"/>
      <c r="V352" s="812"/>
      <c r="W352" s="840"/>
      <c r="X352" s="840"/>
      <c r="Y352" s="8">
        <f t="shared" si="94"/>
        <v>0</v>
      </c>
    </row>
    <row r="353" spans="1:25">
      <c r="A353" s="835">
        <f t="shared" si="125"/>
        <v>155</v>
      </c>
      <c r="B353" s="297" t="s">
        <v>1524</v>
      </c>
      <c r="C353" s="864">
        <f>T353</f>
        <v>7077970.6510219527</v>
      </c>
      <c r="D353" s="797">
        <f t="shared" si="127"/>
        <v>184160.08137078473</v>
      </c>
      <c r="E353" s="797">
        <f t="shared" si="127"/>
        <v>60212.587695276838</v>
      </c>
      <c r="F353" s="797">
        <f t="shared" si="127"/>
        <v>111947.42195446366</v>
      </c>
      <c r="G353" s="797">
        <f t="shared" si="127"/>
        <v>83294.212763737843</v>
      </c>
      <c r="H353" s="797">
        <f t="shared" si="127"/>
        <v>0</v>
      </c>
      <c r="I353" s="836">
        <f t="shared" si="80"/>
        <v>7517585</v>
      </c>
      <c r="J353" s="797">
        <v>350</v>
      </c>
      <c r="K353" s="797">
        <f t="shared" si="92"/>
        <v>21478.814285714285</v>
      </c>
      <c r="L353" s="698"/>
      <c r="M353" s="698"/>
      <c r="N353" s="189" t="s">
        <v>1371</v>
      </c>
      <c r="O353" s="810">
        <f t="shared" si="123"/>
        <v>41083</v>
      </c>
      <c r="P353" s="810">
        <v>41086</v>
      </c>
      <c r="Q353" s="811" t="s">
        <v>1027</v>
      </c>
      <c r="R353" s="304">
        <v>355</v>
      </c>
      <c r="S353" s="255">
        <v>19937.945495836488</v>
      </c>
      <c r="T353" s="8">
        <f t="shared" si="93"/>
        <v>7077970.6510219527</v>
      </c>
      <c r="U353" s="452"/>
      <c r="V353" s="812"/>
      <c r="W353" s="840"/>
      <c r="X353" s="840"/>
      <c r="Y353" s="8">
        <f t="shared" si="94"/>
        <v>0</v>
      </c>
    </row>
    <row r="354" spans="1:25">
      <c r="A354" s="835">
        <f t="shared" si="125"/>
        <v>156</v>
      </c>
      <c r="B354" s="297" t="s">
        <v>1501</v>
      </c>
      <c r="C354" s="864">
        <f>T354</f>
        <v>3052750</v>
      </c>
      <c r="D354" s="797">
        <f t="shared" si="127"/>
        <v>236777.24747672325</v>
      </c>
      <c r="E354" s="797">
        <f t="shared" si="127"/>
        <v>77416.184179641656</v>
      </c>
      <c r="F354" s="797">
        <f t="shared" si="127"/>
        <v>143932.39965573899</v>
      </c>
      <c r="G354" s="797">
        <f t="shared" si="127"/>
        <v>107092.55926766293</v>
      </c>
      <c r="H354" s="797">
        <f t="shared" si="127"/>
        <v>0</v>
      </c>
      <c r="I354" s="836">
        <f t="shared" si="80"/>
        <v>3617968</v>
      </c>
      <c r="J354" s="797">
        <v>450</v>
      </c>
      <c r="K354" s="797">
        <f t="shared" si="92"/>
        <v>8039.9288888888887</v>
      </c>
      <c r="L354" s="698"/>
      <c r="M354" s="698"/>
      <c r="N354" s="192" t="s">
        <v>1429</v>
      </c>
      <c r="O354" s="810">
        <f t="shared" si="123"/>
        <v>41087</v>
      </c>
      <c r="P354" s="810">
        <v>41090</v>
      </c>
      <c r="Q354" s="811" t="s">
        <v>1028</v>
      </c>
      <c r="R354" s="862">
        <v>250</v>
      </c>
      <c r="S354" s="255">
        <v>12211</v>
      </c>
      <c r="T354" s="8">
        <f t="shared" si="93"/>
        <v>3052750</v>
      </c>
      <c r="U354" s="452"/>
      <c r="V354" s="812"/>
      <c r="W354" s="840"/>
      <c r="X354" s="840"/>
      <c r="Y354" s="8">
        <f t="shared" si="94"/>
        <v>0</v>
      </c>
    </row>
    <row r="355" spans="1:25">
      <c r="A355" s="835">
        <f t="shared" si="125"/>
        <v>157</v>
      </c>
      <c r="B355" s="297" t="s">
        <v>1534</v>
      </c>
      <c r="C355" s="864">
        <f>T355</f>
        <v>6102300</v>
      </c>
      <c r="D355" s="797">
        <f t="shared" si="127"/>
        <v>415149.44057585474</v>
      </c>
      <c r="E355" s="797">
        <f t="shared" si="127"/>
        <v>135736.37626163836</v>
      </c>
      <c r="F355" s="797">
        <f t="shared" si="127"/>
        <v>252361.47406306234</v>
      </c>
      <c r="G355" s="797">
        <f t="shared" si="127"/>
        <v>187768.95391596903</v>
      </c>
      <c r="H355" s="797">
        <f t="shared" si="127"/>
        <v>0</v>
      </c>
      <c r="I355" s="836">
        <f t="shared" si="80"/>
        <v>7093316</v>
      </c>
      <c r="J355" s="797">
        <v>789</v>
      </c>
      <c r="K355" s="797">
        <f t="shared" si="92"/>
        <v>8990.2610899873252</v>
      </c>
      <c r="L355" s="698"/>
      <c r="M355" s="698"/>
      <c r="N355" s="192" t="s">
        <v>1435</v>
      </c>
      <c r="O355" s="810">
        <f t="shared" si="123"/>
        <v>41087</v>
      </c>
      <c r="P355" s="810">
        <v>41090</v>
      </c>
      <c r="Q355" s="811" t="s">
        <v>1028</v>
      </c>
      <c r="R355" s="304">
        <v>300</v>
      </c>
      <c r="S355" s="255">
        <v>20341</v>
      </c>
      <c r="T355" s="8">
        <f t="shared" si="93"/>
        <v>6102300</v>
      </c>
      <c r="U355" s="452"/>
      <c r="V355" s="812"/>
      <c r="W355" s="840"/>
      <c r="X355" s="840"/>
      <c r="Y355" s="8">
        <f t="shared" si="94"/>
        <v>0</v>
      </c>
    </row>
    <row r="356" spans="1:25">
      <c r="A356" s="835">
        <f t="shared" si="125"/>
        <v>158</v>
      </c>
      <c r="B356" s="297" t="s">
        <v>1536</v>
      </c>
      <c r="C356" s="864">
        <f>T356</f>
        <v>6743550</v>
      </c>
      <c r="D356" s="797">
        <f t="shared" si="127"/>
        <v>474606.83827556524</v>
      </c>
      <c r="E356" s="797">
        <f t="shared" si="127"/>
        <v>155176.4402889706</v>
      </c>
      <c r="F356" s="797">
        <f t="shared" si="127"/>
        <v>288504.49886550347</v>
      </c>
      <c r="G356" s="797">
        <f t="shared" si="127"/>
        <v>214661.08546540438</v>
      </c>
      <c r="H356" s="797">
        <f t="shared" si="127"/>
        <v>0</v>
      </c>
      <c r="I356" s="836">
        <f t="shared" si="80"/>
        <v>7876499</v>
      </c>
      <c r="J356" s="797">
        <v>902</v>
      </c>
      <c r="K356" s="797">
        <f t="shared" si="92"/>
        <v>8732.2605321507763</v>
      </c>
      <c r="L356" s="848"/>
      <c r="M356" s="698"/>
      <c r="N356" s="192" t="s">
        <v>749</v>
      </c>
      <c r="O356" s="810">
        <f t="shared" si="123"/>
        <v>41087</v>
      </c>
      <c r="P356" s="810">
        <v>41090</v>
      </c>
      <c r="Q356" s="811" t="s">
        <v>1028</v>
      </c>
      <c r="R356" s="862">
        <v>500</v>
      </c>
      <c r="S356" s="255">
        <v>13487.1</v>
      </c>
      <c r="T356" s="8">
        <f t="shared" si="93"/>
        <v>6743550</v>
      </c>
      <c r="U356" s="452"/>
      <c r="V356" s="812"/>
      <c r="W356" s="840"/>
      <c r="X356" s="840"/>
      <c r="Y356" s="8">
        <f t="shared" si="94"/>
        <v>0</v>
      </c>
    </row>
    <row r="357" spans="1:25">
      <c r="A357" s="835">
        <f t="shared" si="125"/>
        <v>159</v>
      </c>
      <c r="B357" s="297" t="s">
        <v>1539</v>
      </c>
      <c r="C357" s="864">
        <f t="shared" ref="C357:C369" si="128">T357</f>
        <v>2775180</v>
      </c>
      <c r="D357" s="797">
        <f t="shared" si="127"/>
        <v>239934.27744307954</v>
      </c>
      <c r="E357" s="797">
        <f t="shared" si="127"/>
        <v>78448.399968703539</v>
      </c>
      <c r="F357" s="797">
        <f t="shared" si="127"/>
        <v>145851.49831781551</v>
      </c>
      <c r="G357" s="797">
        <f t="shared" si="127"/>
        <v>108520.46005789844</v>
      </c>
      <c r="H357" s="797">
        <f t="shared" si="127"/>
        <v>0</v>
      </c>
      <c r="I357" s="836">
        <f t="shared" ref="I357:I369" si="129">ROUND(SUM(C357:H357),0)</f>
        <v>3347935</v>
      </c>
      <c r="J357" s="797">
        <v>456</v>
      </c>
      <c r="K357" s="797">
        <f t="shared" ref="K357:K369" si="130">IF(J357&lt;&gt;"",I357/J357,"")</f>
        <v>7341.9627192982452</v>
      </c>
      <c r="L357" s="698"/>
      <c r="M357" s="698"/>
      <c r="N357" s="192" t="s">
        <v>758</v>
      </c>
      <c r="O357" s="810">
        <f t="shared" si="123"/>
        <v>41087</v>
      </c>
      <c r="P357" s="810">
        <v>41090</v>
      </c>
      <c r="Q357" s="811" t="s">
        <v>1028</v>
      </c>
      <c r="R357" s="304">
        <v>230</v>
      </c>
      <c r="S357" s="255">
        <v>12066</v>
      </c>
      <c r="T357" s="8">
        <f t="shared" ref="T357:T369" si="131">R357*S357</f>
        <v>2775180</v>
      </c>
      <c r="U357" s="452"/>
      <c r="V357" s="812"/>
      <c r="W357" s="840"/>
      <c r="X357" s="840"/>
      <c r="Y357" s="8">
        <f t="shared" ref="Y357:Y369" si="132">W357*X357</f>
        <v>0</v>
      </c>
    </row>
    <row r="358" spans="1:25">
      <c r="A358" s="835">
        <f t="shared" si="125"/>
        <v>160</v>
      </c>
      <c r="B358" s="297" t="s">
        <v>1527</v>
      </c>
      <c r="C358" s="864">
        <f t="shared" si="128"/>
        <v>4097280</v>
      </c>
      <c r="D358" s="797">
        <f t="shared" si="127"/>
        <v>252562.39730850479</v>
      </c>
      <c r="E358" s="797">
        <f t="shared" si="127"/>
        <v>82577.263124951103</v>
      </c>
      <c r="F358" s="797">
        <f t="shared" si="127"/>
        <v>153527.89296612158</v>
      </c>
      <c r="G358" s="797">
        <f t="shared" si="127"/>
        <v>114232.06321884047</v>
      </c>
      <c r="H358" s="797">
        <f t="shared" si="127"/>
        <v>0</v>
      </c>
      <c r="I358" s="836">
        <f t="shared" si="129"/>
        <v>4700180</v>
      </c>
      <c r="J358" s="797">
        <v>480</v>
      </c>
      <c r="K358" s="797">
        <f t="shared" si="130"/>
        <v>9792.0416666666661</v>
      </c>
      <c r="L358" s="698"/>
      <c r="M358" s="698"/>
      <c r="N358" s="192" t="s">
        <v>1277</v>
      </c>
      <c r="O358" s="810">
        <f t="shared" si="123"/>
        <v>41087</v>
      </c>
      <c r="P358" s="810">
        <v>41090</v>
      </c>
      <c r="Q358" s="811" t="s">
        <v>1028</v>
      </c>
      <c r="R358" s="862">
        <v>240</v>
      </c>
      <c r="S358" s="255">
        <v>17072</v>
      </c>
      <c r="T358" s="8">
        <f t="shared" si="131"/>
        <v>4097280</v>
      </c>
      <c r="U358" s="452"/>
      <c r="V358" s="812"/>
      <c r="W358" s="840"/>
      <c r="X358" s="840"/>
      <c r="Y358" s="8">
        <f t="shared" si="132"/>
        <v>0</v>
      </c>
    </row>
    <row r="359" spans="1:25">
      <c r="A359" s="835">
        <f t="shared" si="125"/>
        <v>161</v>
      </c>
      <c r="B359" s="297" t="s">
        <v>1527</v>
      </c>
      <c r="C359" s="864">
        <f t="shared" si="128"/>
        <v>5331210</v>
      </c>
      <c r="D359" s="797">
        <f t="shared" ref="D359:H369" si="133">IF($J$371&lt;&gt;0,D$371/$J$371*$J359,0)</f>
        <v>304653.39175338391</v>
      </c>
      <c r="E359" s="797">
        <f t="shared" si="133"/>
        <v>99608.823644472257</v>
      </c>
      <c r="F359" s="797">
        <f t="shared" si="133"/>
        <v>185193.02089038416</v>
      </c>
      <c r="G359" s="797">
        <f t="shared" si="133"/>
        <v>137792.4262577263</v>
      </c>
      <c r="H359" s="797">
        <f t="shared" si="133"/>
        <v>0</v>
      </c>
      <c r="I359" s="836">
        <f t="shared" si="129"/>
        <v>6058458</v>
      </c>
      <c r="J359" s="797">
        <v>579</v>
      </c>
      <c r="K359" s="797">
        <f t="shared" si="130"/>
        <v>10463.658031088084</v>
      </c>
      <c r="L359" s="698"/>
      <c r="M359" s="698"/>
      <c r="N359" s="192" t="s">
        <v>755</v>
      </c>
      <c r="O359" s="810">
        <f t="shared" si="123"/>
        <v>41087</v>
      </c>
      <c r="P359" s="810">
        <v>41090</v>
      </c>
      <c r="Q359" s="811" t="s">
        <v>1028</v>
      </c>
      <c r="R359" s="304">
        <v>597</v>
      </c>
      <c r="S359" s="255">
        <v>8930</v>
      </c>
      <c r="T359" s="8">
        <f t="shared" si="131"/>
        <v>5331210</v>
      </c>
      <c r="U359" s="452"/>
      <c r="V359" s="812"/>
      <c r="W359" s="840"/>
      <c r="X359" s="840"/>
      <c r="Y359" s="8">
        <f t="shared" si="132"/>
        <v>0</v>
      </c>
    </row>
    <row r="360" spans="1:25">
      <c r="A360" s="835">
        <f t="shared" si="125"/>
        <v>162</v>
      </c>
      <c r="B360" s="297" t="s">
        <v>1503</v>
      </c>
      <c r="C360" s="864">
        <f t="shared" si="128"/>
        <v>1157750</v>
      </c>
      <c r="D360" s="797">
        <f t="shared" si="133"/>
        <v>89449.182380095444</v>
      </c>
      <c r="E360" s="797">
        <f t="shared" si="133"/>
        <v>29246.114023420181</v>
      </c>
      <c r="F360" s="797">
        <f t="shared" si="133"/>
        <v>54374.462092168062</v>
      </c>
      <c r="G360" s="797">
        <f t="shared" si="133"/>
        <v>40457.189056672665</v>
      </c>
      <c r="H360" s="797">
        <f t="shared" si="133"/>
        <v>0</v>
      </c>
      <c r="I360" s="836">
        <f t="shared" si="129"/>
        <v>1371277</v>
      </c>
      <c r="J360" s="797">
        <v>170</v>
      </c>
      <c r="K360" s="797">
        <f t="shared" si="130"/>
        <v>8066.3352941176472</v>
      </c>
      <c r="L360" s="698"/>
      <c r="M360" s="698"/>
      <c r="N360" s="192" t="s">
        <v>1397</v>
      </c>
      <c r="O360" s="810">
        <f t="shared" si="123"/>
        <v>41087</v>
      </c>
      <c r="P360" s="810">
        <v>41090</v>
      </c>
      <c r="Q360" s="811" t="s">
        <v>1028</v>
      </c>
      <c r="R360" s="304">
        <v>50</v>
      </c>
      <c r="S360" s="252">
        <v>23155</v>
      </c>
      <c r="T360" s="8">
        <f t="shared" si="131"/>
        <v>1157750</v>
      </c>
      <c r="U360" s="452"/>
      <c r="V360" s="812"/>
      <c r="W360" s="840"/>
      <c r="X360" s="840"/>
      <c r="Y360" s="8">
        <f t="shared" si="132"/>
        <v>0</v>
      </c>
    </row>
    <row r="361" spans="1:25">
      <c r="A361" s="835">
        <f t="shared" si="125"/>
        <v>163</v>
      </c>
      <c r="B361" s="297" t="s">
        <v>1512</v>
      </c>
      <c r="C361" s="864">
        <f t="shared" si="128"/>
        <v>1985962.6666666665</v>
      </c>
      <c r="D361" s="797">
        <f t="shared" si="133"/>
        <v>136804.6318754401</v>
      </c>
      <c r="E361" s="797">
        <f t="shared" si="133"/>
        <v>44729.350859348509</v>
      </c>
      <c r="F361" s="797">
        <f t="shared" si="133"/>
        <v>83160.94202331586</v>
      </c>
      <c r="G361" s="797">
        <f t="shared" si="133"/>
        <v>61875.700910205254</v>
      </c>
      <c r="H361" s="797">
        <f t="shared" si="133"/>
        <v>0</v>
      </c>
      <c r="I361" s="836">
        <f t="shared" si="129"/>
        <v>2312533</v>
      </c>
      <c r="J361" s="797">
        <v>260</v>
      </c>
      <c r="K361" s="797">
        <f t="shared" si="130"/>
        <v>8894.3576923076926</v>
      </c>
      <c r="L361" s="698"/>
      <c r="M361" s="698"/>
      <c r="N361" s="192" t="s">
        <v>1421</v>
      </c>
      <c r="O361" s="810">
        <f t="shared" si="123"/>
        <v>41087</v>
      </c>
      <c r="P361" s="810">
        <v>41090</v>
      </c>
      <c r="Q361" s="811" t="s">
        <v>1028</v>
      </c>
      <c r="R361" s="304">
        <v>136</v>
      </c>
      <c r="S361" s="255">
        <v>14602.666666666666</v>
      </c>
      <c r="T361" s="8">
        <f t="shared" si="131"/>
        <v>1985962.6666666665</v>
      </c>
      <c r="U361" s="452"/>
      <c r="V361" s="812"/>
      <c r="W361" s="840"/>
      <c r="X361" s="840"/>
      <c r="Y361" s="8">
        <f t="shared" si="132"/>
        <v>0</v>
      </c>
    </row>
    <row r="362" spans="1:25">
      <c r="A362" s="835">
        <f t="shared" si="125"/>
        <v>164</v>
      </c>
      <c r="B362" s="297" t="s">
        <v>1515</v>
      </c>
      <c r="C362" s="864">
        <f t="shared" si="128"/>
        <v>2639875</v>
      </c>
      <c r="D362" s="797">
        <f t="shared" si="133"/>
        <v>128912.05695954931</v>
      </c>
      <c r="E362" s="797">
        <f t="shared" si="133"/>
        <v>42148.811386693786</v>
      </c>
      <c r="F362" s="797">
        <f t="shared" si="133"/>
        <v>78363.19536812455</v>
      </c>
      <c r="G362" s="797">
        <f t="shared" si="133"/>
        <v>58305.948934616492</v>
      </c>
      <c r="H362" s="797">
        <f t="shared" si="133"/>
        <v>0</v>
      </c>
      <c r="I362" s="836">
        <f t="shared" si="129"/>
        <v>2947605</v>
      </c>
      <c r="J362" s="797">
        <v>245</v>
      </c>
      <c r="K362" s="797">
        <f t="shared" si="130"/>
        <v>12031.040816326531</v>
      </c>
      <c r="L362" s="698"/>
      <c r="M362" s="698"/>
      <c r="N362" s="192" t="s">
        <v>1299</v>
      </c>
      <c r="O362" s="810">
        <f t="shared" si="123"/>
        <v>41087</v>
      </c>
      <c r="P362" s="810">
        <v>41090</v>
      </c>
      <c r="Q362" s="811" t="s">
        <v>1028</v>
      </c>
      <c r="R362" s="304">
        <f t="shared" ref="R362:R363" si="134">J362</f>
        <v>245</v>
      </c>
      <c r="S362" s="255">
        <v>10775</v>
      </c>
      <c r="T362" s="8">
        <f t="shared" si="131"/>
        <v>2639875</v>
      </c>
      <c r="U362" s="452"/>
      <c r="V362" s="812"/>
      <c r="W362" s="840"/>
      <c r="X362" s="840"/>
      <c r="Y362" s="8">
        <f t="shared" si="132"/>
        <v>0</v>
      </c>
    </row>
    <row r="363" spans="1:25">
      <c r="A363" s="835">
        <f t="shared" si="125"/>
        <v>165</v>
      </c>
      <c r="B363" s="297" t="s">
        <v>1540</v>
      </c>
      <c r="C363" s="864">
        <f t="shared" si="128"/>
        <v>5818500</v>
      </c>
      <c r="D363" s="797">
        <f t="shared" si="133"/>
        <v>284132.69697206788</v>
      </c>
      <c r="E363" s="797">
        <f t="shared" si="133"/>
        <v>92899.421015569984</v>
      </c>
      <c r="F363" s="797">
        <f t="shared" si="133"/>
        <v>172718.87958688679</v>
      </c>
      <c r="G363" s="797">
        <f t="shared" si="133"/>
        <v>128511.07112119552</v>
      </c>
      <c r="H363" s="797">
        <f t="shared" si="133"/>
        <v>0</v>
      </c>
      <c r="I363" s="836">
        <f t="shared" si="129"/>
        <v>6496762</v>
      </c>
      <c r="J363" s="797">
        <v>540</v>
      </c>
      <c r="K363" s="797">
        <f t="shared" si="130"/>
        <v>12031.04074074074</v>
      </c>
      <c r="L363" s="698"/>
      <c r="M363" s="698"/>
      <c r="N363" s="192" t="s">
        <v>1299</v>
      </c>
      <c r="O363" s="810">
        <f t="shared" si="123"/>
        <v>41087</v>
      </c>
      <c r="P363" s="810">
        <v>41090</v>
      </c>
      <c r="Q363" s="811" t="s">
        <v>1028</v>
      </c>
      <c r="R363" s="304">
        <f t="shared" si="134"/>
        <v>540</v>
      </c>
      <c r="S363" s="255">
        <v>10775</v>
      </c>
      <c r="T363" s="8">
        <f t="shared" si="131"/>
        <v>5818500</v>
      </c>
      <c r="U363" s="452"/>
      <c r="V363" s="812"/>
      <c r="W363" s="840"/>
      <c r="X363" s="840"/>
      <c r="Y363" s="8">
        <f t="shared" si="132"/>
        <v>0</v>
      </c>
    </row>
    <row r="364" spans="1:25">
      <c r="A364" s="835">
        <f t="shared" si="125"/>
        <v>166</v>
      </c>
      <c r="B364" s="297" t="s">
        <v>1502</v>
      </c>
      <c r="C364" s="864">
        <f t="shared" si="128"/>
        <v>4365900</v>
      </c>
      <c r="D364" s="797">
        <f t="shared" si="133"/>
        <v>305179.56341444328</v>
      </c>
      <c r="E364" s="797">
        <f t="shared" si="133"/>
        <v>99780.859609315914</v>
      </c>
      <c r="F364" s="797">
        <f t="shared" si="133"/>
        <v>185512.8706673969</v>
      </c>
      <c r="G364" s="797">
        <f t="shared" si="133"/>
        <v>138030.40972276556</v>
      </c>
      <c r="H364" s="797">
        <f t="shared" si="133"/>
        <v>0</v>
      </c>
      <c r="I364" s="836">
        <f t="shared" si="129"/>
        <v>5094404</v>
      </c>
      <c r="J364" s="797">
        <v>580</v>
      </c>
      <c r="K364" s="797">
        <f t="shared" si="130"/>
        <v>8783.4551724137928</v>
      </c>
      <c r="L364" s="698"/>
      <c r="M364" s="698"/>
      <c r="N364" s="192" t="s">
        <v>1428</v>
      </c>
      <c r="O364" s="810">
        <f t="shared" si="123"/>
        <v>41087</v>
      </c>
      <c r="P364" s="810">
        <v>41090</v>
      </c>
      <c r="Q364" s="811" t="s">
        <v>1028</v>
      </c>
      <c r="R364" s="304">
        <v>300</v>
      </c>
      <c r="S364" s="252">
        <v>14553</v>
      </c>
      <c r="T364" s="8">
        <f t="shared" si="131"/>
        <v>4365900</v>
      </c>
      <c r="U364" s="452"/>
      <c r="V364" s="812"/>
      <c r="W364" s="840"/>
      <c r="X364" s="840"/>
      <c r="Y364" s="8">
        <f t="shared" si="132"/>
        <v>0</v>
      </c>
    </row>
    <row r="365" spans="1:25">
      <c r="A365" s="835">
        <f t="shared" si="125"/>
        <v>167</v>
      </c>
      <c r="B365" s="297" t="s">
        <v>1537</v>
      </c>
      <c r="C365" s="864">
        <f t="shared" si="128"/>
        <v>3072420</v>
      </c>
      <c r="D365" s="797">
        <f t="shared" si="133"/>
        <v>247300.68069791092</v>
      </c>
      <c r="E365" s="797">
        <f t="shared" si="133"/>
        <v>80856.903476514621</v>
      </c>
      <c r="F365" s="797">
        <f t="shared" si="133"/>
        <v>150329.39519599406</v>
      </c>
      <c r="G365" s="797">
        <f t="shared" si="133"/>
        <v>111852.22856844796</v>
      </c>
      <c r="H365" s="797">
        <f t="shared" si="133"/>
        <v>0</v>
      </c>
      <c r="I365" s="836">
        <f t="shared" si="129"/>
        <v>3662759</v>
      </c>
      <c r="J365" s="797">
        <v>470</v>
      </c>
      <c r="K365" s="797">
        <f t="shared" si="130"/>
        <v>7793.1042553191492</v>
      </c>
      <c r="L365" s="698"/>
      <c r="M365" s="698"/>
      <c r="N365" s="192" t="s">
        <v>1317</v>
      </c>
      <c r="O365" s="810">
        <f t="shared" si="123"/>
        <v>41087</v>
      </c>
      <c r="P365" s="810">
        <v>41090</v>
      </c>
      <c r="Q365" s="811" t="s">
        <v>1028</v>
      </c>
      <c r="R365" s="304">
        <v>260</v>
      </c>
      <c r="S365" s="255">
        <v>11817</v>
      </c>
      <c r="T365" s="8">
        <f t="shared" si="131"/>
        <v>3072420</v>
      </c>
      <c r="U365" s="452"/>
      <c r="V365" s="812"/>
      <c r="W365" s="840"/>
      <c r="X365" s="840"/>
      <c r="Y365" s="8">
        <f t="shared" si="132"/>
        <v>0</v>
      </c>
    </row>
    <row r="366" spans="1:25">
      <c r="A366" s="835">
        <f t="shared" si="125"/>
        <v>168</v>
      </c>
      <c r="B366" s="297" t="s">
        <v>1514</v>
      </c>
      <c r="C366" s="864">
        <f t="shared" si="128"/>
        <v>2039225.5555555557</v>
      </c>
      <c r="D366" s="797">
        <f t="shared" si="133"/>
        <v>89449.182380095444</v>
      </c>
      <c r="E366" s="797">
        <f t="shared" si="133"/>
        <v>29246.114023420181</v>
      </c>
      <c r="F366" s="797">
        <f t="shared" si="133"/>
        <v>54374.462092168062</v>
      </c>
      <c r="G366" s="797">
        <f t="shared" si="133"/>
        <v>40457.189056672665</v>
      </c>
      <c r="H366" s="797">
        <f t="shared" si="133"/>
        <v>0</v>
      </c>
      <c r="I366" s="836">
        <f t="shared" si="129"/>
        <v>2252753</v>
      </c>
      <c r="J366" s="797">
        <v>170</v>
      </c>
      <c r="K366" s="797">
        <f t="shared" si="130"/>
        <v>13251.488235294117</v>
      </c>
      <c r="L366" s="698"/>
      <c r="M366" s="698"/>
      <c r="N366" s="189" t="s">
        <v>1288</v>
      </c>
      <c r="O366" s="810">
        <f t="shared" si="123"/>
        <v>41087</v>
      </c>
      <c r="P366" s="810">
        <v>41090</v>
      </c>
      <c r="Q366" s="811" t="s">
        <v>1028</v>
      </c>
      <c r="R366" s="304">
        <f>J366</f>
        <v>170</v>
      </c>
      <c r="S366" s="252">
        <v>11995.444444444445</v>
      </c>
      <c r="T366" s="8">
        <f t="shared" si="131"/>
        <v>2039225.5555555557</v>
      </c>
      <c r="U366" s="452"/>
      <c r="V366" s="812"/>
      <c r="W366" s="840"/>
      <c r="X366" s="840"/>
      <c r="Y366" s="8">
        <f t="shared" si="132"/>
        <v>0</v>
      </c>
    </row>
    <row r="367" spans="1:25">
      <c r="A367" s="835">
        <f t="shared" si="125"/>
        <v>169</v>
      </c>
      <c r="B367" s="297" t="s">
        <v>1541</v>
      </c>
      <c r="C367" s="864">
        <f t="shared" si="128"/>
        <v>2693750</v>
      </c>
      <c r="D367" s="797">
        <f t="shared" si="133"/>
        <v>131542.91526484623</v>
      </c>
      <c r="E367" s="797">
        <f t="shared" si="133"/>
        <v>43008.991210912027</v>
      </c>
      <c r="F367" s="797">
        <f t="shared" si="133"/>
        <v>79962.444253188325</v>
      </c>
      <c r="G367" s="797">
        <f t="shared" si="133"/>
        <v>59495.866259812741</v>
      </c>
      <c r="H367" s="797">
        <f t="shared" si="133"/>
        <v>0</v>
      </c>
      <c r="I367" s="836">
        <f t="shared" si="129"/>
        <v>3007760</v>
      </c>
      <c r="J367" s="797">
        <v>250</v>
      </c>
      <c r="K367" s="797">
        <f t="shared" si="130"/>
        <v>12031.04</v>
      </c>
      <c r="L367" s="698"/>
      <c r="M367" s="698"/>
      <c r="N367" s="192" t="s">
        <v>1299</v>
      </c>
      <c r="O367" s="810">
        <f t="shared" si="123"/>
        <v>41087</v>
      </c>
      <c r="P367" s="810">
        <v>41090</v>
      </c>
      <c r="Q367" s="811" t="s">
        <v>1028</v>
      </c>
      <c r="R367" s="304">
        <f>J367</f>
        <v>250</v>
      </c>
      <c r="S367" s="255">
        <v>10775</v>
      </c>
      <c r="T367" s="8">
        <f t="shared" si="131"/>
        <v>2693750</v>
      </c>
      <c r="U367" s="452"/>
      <c r="V367" s="812"/>
      <c r="W367" s="840"/>
      <c r="X367" s="840"/>
      <c r="Y367" s="8">
        <f t="shared" si="132"/>
        <v>0</v>
      </c>
    </row>
    <row r="368" spans="1:25">
      <c r="A368" s="835">
        <f t="shared" si="125"/>
        <v>170</v>
      </c>
      <c r="B368" s="297" t="s">
        <v>1504</v>
      </c>
      <c r="C368" s="864">
        <f t="shared" si="128"/>
        <v>2126250</v>
      </c>
      <c r="D368" s="797">
        <f t="shared" si="133"/>
        <v>128385.88529848993</v>
      </c>
      <c r="E368" s="797">
        <f t="shared" si="133"/>
        <v>41976.775421850143</v>
      </c>
      <c r="F368" s="797">
        <f t="shared" si="133"/>
        <v>78043.345591111807</v>
      </c>
      <c r="G368" s="797">
        <f t="shared" si="133"/>
        <v>58067.965469577241</v>
      </c>
      <c r="H368" s="797">
        <f t="shared" si="133"/>
        <v>0</v>
      </c>
      <c r="I368" s="836">
        <f t="shared" si="129"/>
        <v>2432724</v>
      </c>
      <c r="J368" s="797">
        <v>244</v>
      </c>
      <c r="K368" s="797">
        <f t="shared" si="130"/>
        <v>9970.1803278688531</v>
      </c>
      <c r="L368" s="698"/>
      <c r="M368" s="698"/>
      <c r="N368" s="192" t="s">
        <v>1409</v>
      </c>
      <c r="O368" s="810">
        <f t="shared" si="123"/>
        <v>41087</v>
      </c>
      <c r="P368" s="810">
        <v>41090</v>
      </c>
      <c r="Q368" s="811" t="s">
        <v>1028</v>
      </c>
      <c r="R368" s="304">
        <v>250</v>
      </c>
      <c r="S368" s="255">
        <v>8505</v>
      </c>
      <c r="T368" s="8">
        <f t="shared" si="131"/>
        <v>2126250</v>
      </c>
      <c r="U368" s="452"/>
      <c r="V368" s="812"/>
      <c r="W368" s="840"/>
      <c r="X368" s="840"/>
      <c r="Y368" s="8">
        <f t="shared" si="132"/>
        <v>0</v>
      </c>
    </row>
    <row r="369" spans="1:25">
      <c r="A369" s="835">
        <f t="shared" si="125"/>
        <v>171</v>
      </c>
      <c r="B369" s="297" t="s">
        <v>1505</v>
      </c>
      <c r="C369" s="864">
        <f t="shared" si="128"/>
        <v>1690052</v>
      </c>
      <c r="D369" s="797">
        <f t="shared" si="133"/>
        <v>94710.898990689297</v>
      </c>
      <c r="E369" s="797">
        <f t="shared" si="133"/>
        <v>30966.47367185666</v>
      </c>
      <c r="F369" s="797">
        <f t="shared" si="133"/>
        <v>57572.959862295596</v>
      </c>
      <c r="G369" s="797">
        <f t="shared" si="133"/>
        <v>42837.023707065178</v>
      </c>
      <c r="H369" s="797">
        <f t="shared" si="133"/>
        <v>0</v>
      </c>
      <c r="I369" s="836">
        <f t="shared" si="129"/>
        <v>1916139</v>
      </c>
      <c r="J369" s="797">
        <v>180</v>
      </c>
      <c r="K369" s="797">
        <f t="shared" si="130"/>
        <v>10645.216666666667</v>
      </c>
      <c r="L369" s="698"/>
      <c r="M369" s="698"/>
      <c r="N369" s="192" t="s">
        <v>1408</v>
      </c>
      <c r="O369" s="810">
        <f t="shared" si="123"/>
        <v>41087</v>
      </c>
      <c r="P369" s="810">
        <v>41090</v>
      </c>
      <c r="Q369" s="811" t="s">
        <v>1028</v>
      </c>
      <c r="R369" s="862">
        <v>182</v>
      </c>
      <c r="S369" s="252">
        <v>9286</v>
      </c>
      <c r="T369" s="8">
        <f t="shared" si="131"/>
        <v>1690052</v>
      </c>
      <c r="U369" s="452"/>
      <c r="V369" s="812"/>
      <c r="W369" s="840"/>
      <c r="X369" s="840"/>
      <c r="Y369" s="8">
        <f t="shared" si="132"/>
        <v>0</v>
      </c>
    </row>
    <row r="370" spans="1:25" s="815" customFormat="1">
      <c r="A370" s="796"/>
      <c r="B370" s="823"/>
      <c r="C370" s="824"/>
      <c r="D370" s="825"/>
      <c r="E370" s="826"/>
      <c r="F370" s="826"/>
      <c r="G370" s="826"/>
      <c r="H370" s="473"/>
      <c r="I370" s="825"/>
      <c r="J370" s="828"/>
      <c r="K370" s="826"/>
      <c r="L370" s="698"/>
      <c r="M370" s="698"/>
      <c r="N370" s="452"/>
      <c r="O370" s="812"/>
      <c r="P370" s="810"/>
      <c r="Q370" s="811"/>
      <c r="R370" s="304"/>
      <c r="S370" s="252"/>
      <c r="T370" s="25"/>
      <c r="U370" s="452"/>
      <c r="V370" s="812"/>
      <c r="W370" s="842"/>
      <c r="X370" s="842"/>
      <c r="Y370" s="829"/>
    </row>
    <row r="371" spans="1:25" s="794" customFormat="1">
      <c r="A371" s="798"/>
      <c r="B371" s="799" t="s">
        <v>268</v>
      </c>
      <c r="C371" s="544">
        <f>SUM(C199:C370)</f>
        <v>576345766.79273498</v>
      </c>
      <c r="D371" s="544">
        <v>40350000</v>
      </c>
      <c r="E371" s="544">
        <f>$Y$371</f>
        <v>13192750</v>
      </c>
      <c r="F371" s="544">
        <v>24528000</v>
      </c>
      <c r="G371" s="544">
        <v>18250000</v>
      </c>
      <c r="H371" s="544"/>
      <c r="I371" s="544">
        <f>ROUND(SUM(I199:I370),0)</f>
        <v>672666508</v>
      </c>
      <c r="J371" s="544">
        <f>ROUND(SUM(J199:J370),0)</f>
        <v>76686</v>
      </c>
      <c r="K371" s="544"/>
      <c r="L371" s="807"/>
      <c r="M371" s="807"/>
      <c r="N371" s="816"/>
      <c r="O371" s="817"/>
      <c r="P371" s="817"/>
      <c r="Q371" s="818"/>
      <c r="R371" s="863"/>
      <c r="S371" s="27"/>
      <c r="T371" s="47">
        <f>SUM(T199:T370)</f>
        <v>576345766.79273498</v>
      </c>
      <c r="U371" s="816"/>
      <c r="V371" s="817"/>
      <c r="W371" s="830"/>
      <c r="X371" s="27"/>
      <c r="Y371" s="47">
        <f>SUM(Y199:Y370)</f>
        <v>13192750</v>
      </c>
    </row>
    <row r="372" spans="1:25" s="794" customFormat="1">
      <c r="A372" s="800"/>
      <c r="B372" s="801"/>
      <c r="C372" s="795"/>
      <c r="D372" s="795"/>
      <c r="E372" s="795"/>
      <c r="F372" s="795"/>
      <c r="G372" s="795"/>
      <c r="H372" s="795"/>
      <c r="I372" s="795"/>
      <c r="J372" s="795"/>
      <c r="K372" s="795"/>
      <c r="L372" s="807"/>
      <c r="M372" s="807"/>
      <c r="N372" s="453"/>
      <c r="O372" s="819"/>
      <c r="P372" s="819"/>
      <c r="Q372" s="820"/>
      <c r="R372" s="861"/>
      <c r="S372" s="809"/>
      <c r="T372" s="821"/>
      <c r="U372" s="453"/>
      <c r="V372" s="819"/>
      <c r="W372" s="809"/>
      <c r="X372" s="809"/>
      <c r="Y372" s="831"/>
    </row>
    <row r="373" spans="1:25">
      <c r="I373" s="822"/>
      <c r="N373" s="453"/>
      <c r="O373" s="819"/>
      <c r="P373" s="819"/>
      <c r="Q373" s="820"/>
      <c r="R373" s="861"/>
      <c r="S373" s="809"/>
      <c r="T373" s="821"/>
      <c r="U373" s="453"/>
      <c r="V373" s="819"/>
      <c r="W373" s="809"/>
      <c r="X373" s="809"/>
      <c r="Y373" s="831"/>
    </row>
    <row r="374" spans="1:25" ht="18" hidden="1" customHeight="1">
      <c r="A374" s="584" t="s">
        <v>557</v>
      </c>
      <c r="B374" s="794"/>
      <c r="C374" s="293"/>
      <c r="D374" s="293"/>
      <c r="E374" s="293"/>
      <c r="F374" s="293"/>
      <c r="G374" s="293"/>
      <c r="H374" s="293"/>
      <c r="I374" s="293"/>
      <c r="J374" s="613"/>
      <c r="K374" s="293"/>
      <c r="L374" s="807"/>
      <c r="M374" s="807"/>
      <c r="N374" s="453"/>
      <c r="O374" s="819"/>
      <c r="P374" s="819"/>
      <c r="Q374" s="820"/>
      <c r="R374" s="861"/>
      <c r="S374" s="809"/>
      <c r="T374" s="821"/>
      <c r="U374" s="453"/>
      <c r="V374" s="819"/>
      <c r="W374" s="809"/>
      <c r="X374" s="809"/>
      <c r="Y374" s="831"/>
    </row>
    <row r="375" spans="1:25" ht="18.75" customHeight="1">
      <c r="A375" s="795" t="s">
        <v>1106</v>
      </c>
      <c r="B375" s="795"/>
      <c r="C375" s="795"/>
      <c r="D375" s="795"/>
      <c r="E375" s="795"/>
      <c r="F375" s="795"/>
      <c r="G375" s="795"/>
      <c r="H375" s="795"/>
      <c r="I375" s="795"/>
      <c r="J375" s="795"/>
      <c r="K375" s="795"/>
      <c r="L375" s="807"/>
      <c r="M375" s="807"/>
      <c r="N375" s="453"/>
      <c r="O375" s="819"/>
      <c r="P375" s="819"/>
      <c r="Q375" s="820"/>
      <c r="R375" s="861"/>
      <c r="S375" s="809"/>
      <c r="T375" s="821"/>
      <c r="U375" s="453"/>
      <c r="V375" s="819"/>
      <c r="W375" s="809"/>
      <c r="X375" s="809"/>
      <c r="Y375" s="831"/>
    </row>
    <row r="376" spans="1:25" ht="12.75" customHeight="1">
      <c r="A376" s="846"/>
      <c r="B376" s="838"/>
      <c r="C376" s="838"/>
      <c r="D376" s="838"/>
      <c r="E376" s="838"/>
      <c r="F376" s="838"/>
      <c r="G376" s="838"/>
      <c r="H376" s="838"/>
      <c r="I376" s="838"/>
      <c r="J376" s="808"/>
      <c r="K376" s="838"/>
      <c r="L376" s="807"/>
      <c r="M376" s="807"/>
      <c r="N376" s="453"/>
      <c r="O376" s="819"/>
      <c r="P376" s="819"/>
      <c r="Q376" s="820"/>
      <c r="R376" s="861"/>
      <c r="S376" s="809"/>
      <c r="T376" s="821"/>
      <c r="U376" s="453"/>
      <c r="V376" s="819"/>
      <c r="W376" s="809"/>
      <c r="X376" s="809"/>
      <c r="Y376" s="802"/>
    </row>
    <row r="377" spans="1:25" s="450" customFormat="1" ht="30.75" customHeight="1">
      <c r="A377" s="866" t="s">
        <v>35</v>
      </c>
      <c r="B377" s="445" t="s">
        <v>258</v>
      </c>
      <c r="C377" s="446" t="s">
        <v>262</v>
      </c>
      <c r="D377" s="446" t="s">
        <v>512</v>
      </c>
      <c r="E377" s="446" t="s">
        <v>263</v>
      </c>
      <c r="F377" s="446" t="s">
        <v>504</v>
      </c>
      <c r="G377" s="447" t="s">
        <v>264</v>
      </c>
      <c r="H377" s="446" t="s">
        <v>503</v>
      </c>
      <c r="I377" s="446" t="s">
        <v>265</v>
      </c>
      <c r="J377" s="448" t="s">
        <v>260</v>
      </c>
      <c r="K377" s="446" t="s">
        <v>266</v>
      </c>
      <c r="L377" s="449"/>
      <c r="M377" s="449"/>
      <c r="N377" s="445" t="s">
        <v>258</v>
      </c>
      <c r="O377" s="446" t="s">
        <v>252</v>
      </c>
      <c r="P377" s="446"/>
      <c r="Q377" s="789"/>
      <c r="R377" s="858" t="s">
        <v>215</v>
      </c>
      <c r="S377" s="446" t="s">
        <v>261</v>
      </c>
      <c r="T377" s="446" t="s">
        <v>267</v>
      </c>
      <c r="U377" s="445" t="s">
        <v>258</v>
      </c>
      <c r="V377" s="446" t="s">
        <v>252</v>
      </c>
      <c r="W377" s="446" t="s">
        <v>215</v>
      </c>
      <c r="X377" s="446" t="s">
        <v>261</v>
      </c>
      <c r="Y377" s="445" t="s">
        <v>267</v>
      </c>
    </row>
    <row r="378" spans="1:25">
      <c r="A378" s="796">
        <f>IF(B378&lt;&gt;"",1,"")</f>
        <v>1</v>
      </c>
      <c r="B378" s="297" t="s">
        <v>1170</v>
      </c>
      <c r="C378" s="25">
        <f>T378</f>
        <v>3110400</v>
      </c>
      <c r="D378" s="797">
        <f t="shared" ref="D378:H387" si="135">IF($J$452&lt;&gt;0,D$452/$J$452*$J378,0)</f>
        <v>859553.07500585821</v>
      </c>
      <c r="E378" s="797">
        <f t="shared" si="135"/>
        <v>259564.79134269222</v>
      </c>
      <c r="F378" s="797">
        <f t="shared" si="135"/>
        <v>494642.43870225589</v>
      </c>
      <c r="G378" s="797">
        <f t="shared" si="135"/>
        <v>388769.35858381446</v>
      </c>
      <c r="H378" s="797">
        <f t="shared" si="135"/>
        <v>0</v>
      </c>
      <c r="I378" s="25">
        <f t="shared" ref="I378:I383" si="136">SUM(C378:H378)</f>
        <v>5112929.6636346206</v>
      </c>
      <c r="J378" s="797">
        <v>1000</v>
      </c>
      <c r="K378" s="797">
        <f>IF(J378&lt;&gt;"",I378/J378,"")</f>
        <v>5112.9296636346207</v>
      </c>
      <c r="L378" s="698"/>
      <c r="M378" s="698"/>
      <c r="N378" s="192" t="s">
        <v>750</v>
      </c>
      <c r="O378" s="810">
        <f t="shared" ref="O378:O441" si="137">P378-3</f>
        <v>41089</v>
      </c>
      <c r="P378" s="810">
        <v>41092</v>
      </c>
      <c r="Q378" s="811" t="s">
        <v>1029</v>
      </c>
      <c r="R378" s="304">
        <v>500</v>
      </c>
      <c r="S378" s="842">
        <v>6220.8</v>
      </c>
      <c r="T378" s="25">
        <f t="shared" ref="T378:T379" si="138">ROUND(R378*S378,0)</f>
        <v>3110400</v>
      </c>
      <c r="U378" s="189" t="s">
        <v>403</v>
      </c>
      <c r="V378" s="812">
        <v>41099</v>
      </c>
      <c r="W378" s="842">
        <v>100</v>
      </c>
      <c r="X378" s="842">
        <v>25000</v>
      </c>
      <c r="Y378" s="25">
        <f t="shared" ref="Y378:Y451" si="139">ROUND(W378*X378,0)</f>
        <v>2500000</v>
      </c>
    </row>
    <row r="379" spans="1:25">
      <c r="A379" s="796">
        <f>IF(B379&lt;&gt;"",A378+1,"")</f>
        <v>2</v>
      </c>
      <c r="B379" s="297" t="s">
        <v>551</v>
      </c>
      <c r="C379" s="25">
        <f t="shared" ref="C379:C383" si="140">T379</f>
        <v>1785600</v>
      </c>
      <c r="D379" s="797">
        <f t="shared" si="135"/>
        <v>601687.1525041007</v>
      </c>
      <c r="E379" s="797">
        <f t="shared" si="135"/>
        <v>181695.35393988455</v>
      </c>
      <c r="F379" s="797">
        <f t="shared" si="135"/>
        <v>346249.70709157916</v>
      </c>
      <c r="G379" s="797">
        <f t="shared" si="135"/>
        <v>272138.55100867013</v>
      </c>
      <c r="H379" s="797">
        <f t="shared" si="135"/>
        <v>0</v>
      </c>
      <c r="I379" s="25">
        <f t="shared" si="136"/>
        <v>3187370.7645442341</v>
      </c>
      <c r="J379" s="797">
        <v>700</v>
      </c>
      <c r="K379" s="797">
        <f t="shared" ref="K379:K382" si="141">IF(J379&lt;&gt;"",I379/J379,"")</f>
        <v>4553.3868064917633</v>
      </c>
      <c r="L379" s="698"/>
      <c r="M379" s="698"/>
      <c r="N379" s="192" t="s">
        <v>790</v>
      </c>
      <c r="O379" s="810">
        <f t="shared" si="137"/>
        <v>41090</v>
      </c>
      <c r="P379" s="810">
        <v>41093</v>
      </c>
      <c r="Q379" s="811" t="s">
        <v>1030</v>
      </c>
      <c r="R379" s="304">
        <v>150</v>
      </c>
      <c r="S379" s="842">
        <v>11904</v>
      </c>
      <c r="T379" s="25">
        <f t="shared" si="138"/>
        <v>1785600</v>
      </c>
      <c r="U379" s="189" t="s">
        <v>370</v>
      </c>
      <c r="V379" s="812">
        <v>41099</v>
      </c>
      <c r="W379" s="842">
        <v>24</v>
      </c>
      <c r="X379" s="842">
        <v>42000</v>
      </c>
      <c r="Y379" s="25">
        <f t="shared" si="139"/>
        <v>1008000</v>
      </c>
    </row>
    <row r="380" spans="1:25">
      <c r="A380" s="796">
        <f t="shared" ref="A380:A443" si="142">IF(B380&lt;&gt;"",A379+1,"")</f>
        <v>3</v>
      </c>
      <c r="B380" s="297" t="s">
        <v>1121</v>
      </c>
      <c r="C380" s="25">
        <f t="shared" si="140"/>
        <v>2513060</v>
      </c>
      <c r="D380" s="797">
        <f t="shared" si="135"/>
        <v>429776.5375029291</v>
      </c>
      <c r="E380" s="797">
        <f t="shared" si="135"/>
        <v>129782.39567134611</v>
      </c>
      <c r="F380" s="797">
        <f t="shared" si="135"/>
        <v>247321.21935112795</v>
      </c>
      <c r="G380" s="797">
        <f t="shared" si="135"/>
        <v>194384.67929190723</v>
      </c>
      <c r="H380" s="797">
        <f t="shared" si="135"/>
        <v>0</v>
      </c>
      <c r="I380" s="25">
        <f t="shared" si="136"/>
        <v>3514324.8318173103</v>
      </c>
      <c r="J380" s="797">
        <v>500</v>
      </c>
      <c r="K380" s="797">
        <f t="shared" si="141"/>
        <v>7028.649663634621</v>
      </c>
      <c r="L380" s="698"/>
      <c r="M380" s="698"/>
      <c r="N380" s="192" t="s">
        <v>1269</v>
      </c>
      <c r="O380" s="810">
        <f t="shared" si="137"/>
        <v>41092</v>
      </c>
      <c r="P380" s="810">
        <v>41095</v>
      </c>
      <c r="Q380" s="811" t="s">
        <v>1031</v>
      </c>
      <c r="R380" s="304">
        <v>110</v>
      </c>
      <c r="S380" s="842">
        <v>22846</v>
      </c>
      <c r="T380" s="25">
        <f t="shared" ref="T380:T451" si="143">ROUND(R380*S380,0)</f>
        <v>2513060</v>
      </c>
      <c r="U380" s="867" t="s">
        <v>742</v>
      </c>
      <c r="V380" s="812">
        <v>42583</v>
      </c>
      <c r="W380" s="840">
        <v>34707</v>
      </c>
      <c r="X380" s="840">
        <v>250</v>
      </c>
      <c r="Y380" s="25">
        <f t="shared" si="139"/>
        <v>8676750</v>
      </c>
    </row>
    <row r="381" spans="1:25">
      <c r="A381" s="796">
        <f t="shared" si="142"/>
        <v>4</v>
      </c>
      <c r="B381" s="297" t="s">
        <v>1145</v>
      </c>
      <c r="C381" s="25">
        <f t="shared" si="140"/>
        <v>3844250</v>
      </c>
      <c r="D381" s="797">
        <f t="shared" si="135"/>
        <v>387658.43682764203</v>
      </c>
      <c r="E381" s="797">
        <f t="shared" si="135"/>
        <v>117063.72089555419</v>
      </c>
      <c r="F381" s="797">
        <f t="shared" si="135"/>
        <v>223083.73985471742</v>
      </c>
      <c r="G381" s="797">
        <f t="shared" si="135"/>
        <v>175334.98072130032</v>
      </c>
      <c r="H381" s="797">
        <f t="shared" si="135"/>
        <v>0</v>
      </c>
      <c r="I381" s="25">
        <f t="shared" si="136"/>
        <v>4747390.8782992139</v>
      </c>
      <c r="J381" s="797">
        <v>451</v>
      </c>
      <c r="K381" s="797">
        <f t="shared" si="141"/>
        <v>10526.365583812005</v>
      </c>
      <c r="L381" s="698"/>
      <c r="M381" s="698"/>
      <c r="N381" s="192" t="s">
        <v>1315</v>
      </c>
      <c r="O381" s="810">
        <f t="shared" si="137"/>
        <v>41092</v>
      </c>
      <c r="P381" s="810">
        <v>41095</v>
      </c>
      <c r="Q381" s="811" t="s">
        <v>1032</v>
      </c>
      <c r="R381" s="304">
        <v>250</v>
      </c>
      <c r="S381" s="842">
        <v>15377</v>
      </c>
      <c r="T381" s="25">
        <f t="shared" si="143"/>
        <v>3844250</v>
      </c>
      <c r="U381" s="189"/>
      <c r="V381" s="812">
        <v>42583</v>
      </c>
      <c r="W381" s="842"/>
      <c r="X381" s="842"/>
      <c r="Y381" s="25">
        <f t="shared" si="139"/>
        <v>0</v>
      </c>
    </row>
    <row r="382" spans="1:25">
      <c r="A382" s="796">
        <f t="shared" si="142"/>
        <v>5</v>
      </c>
      <c r="B382" s="297" t="s">
        <v>1033</v>
      </c>
      <c r="C382" s="25">
        <f t="shared" si="140"/>
        <v>2703600</v>
      </c>
      <c r="D382" s="797">
        <f t="shared" si="135"/>
        <v>534642.01265364385</v>
      </c>
      <c r="E382" s="797">
        <f t="shared" si="135"/>
        <v>161449.30021515457</v>
      </c>
      <c r="F382" s="797">
        <f t="shared" si="135"/>
        <v>307667.59687280317</v>
      </c>
      <c r="G382" s="797">
        <f t="shared" si="135"/>
        <v>241814.54103913257</v>
      </c>
      <c r="H382" s="797">
        <f t="shared" si="135"/>
        <v>0</v>
      </c>
      <c r="I382" s="25">
        <f t="shared" si="136"/>
        <v>3949173.450780734</v>
      </c>
      <c r="J382" s="797">
        <v>622</v>
      </c>
      <c r="K382" s="797">
        <f t="shared" si="141"/>
        <v>6349.153457846839</v>
      </c>
      <c r="L382" s="698"/>
      <c r="M382" s="698"/>
      <c r="N382" s="192" t="s">
        <v>1414</v>
      </c>
      <c r="O382" s="810">
        <f t="shared" si="137"/>
        <v>41092</v>
      </c>
      <c r="P382" s="810">
        <v>41095</v>
      </c>
      <c r="Q382" s="811" t="s">
        <v>1034</v>
      </c>
      <c r="R382" s="304">
        <v>360</v>
      </c>
      <c r="S382" s="842">
        <v>7510</v>
      </c>
      <c r="T382" s="25">
        <f t="shared" si="143"/>
        <v>2703600</v>
      </c>
      <c r="U382" s="452"/>
      <c r="V382" s="812"/>
      <c r="W382" s="842"/>
      <c r="X382" s="842"/>
      <c r="Y382" s="25">
        <f t="shared" si="139"/>
        <v>0</v>
      </c>
    </row>
    <row r="383" spans="1:25">
      <c r="A383" s="796">
        <f t="shared" si="142"/>
        <v>6</v>
      </c>
      <c r="B383" s="297" t="s">
        <v>1169</v>
      </c>
      <c r="C383" s="25">
        <f t="shared" si="140"/>
        <v>1543425</v>
      </c>
      <c r="D383" s="797">
        <f t="shared" si="135"/>
        <v>253568.15712672818</v>
      </c>
      <c r="E383" s="797">
        <f t="shared" si="135"/>
        <v>76571.613446094198</v>
      </c>
      <c r="F383" s="797">
        <f t="shared" si="135"/>
        <v>145919.51941716549</v>
      </c>
      <c r="G383" s="797">
        <f t="shared" si="135"/>
        <v>114686.96078222526</v>
      </c>
      <c r="H383" s="797">
        <f t="shared" si="135"/>
        <v>0</v>
      </c>
      <c r="I383" s="25">
        <f t="shared" si="136"/>
        <v>2134171.2507722131</v>
      </c>
      <c r="J383" s="797">
        <v>295</v>
      </c>
      <c r="K383" s="797">
        <f t="shared" ref="K383" si="144">IF(J383&lt;&gt;"",I383/J383,"")</f>
        <v>7234.4788161769939</v>
      </c>
      <c r="L383" s="698"/>
      <c r="M383" s="698"/>
      <c r="N383" s="192" t="s">
        <v>1332</v>
      </c>
      <c r="O383" s="810">
        <f t="shared" si="137"/>
        <v>41092</v>
      </c>
      <c r="P383" s="810">
        <v>41095</v>
      </c>
      <c r="Q383" s="811" t="s">
        <v>1034</v>
      </c>
      <c r="R383" s="304">
        <v>75</v>
      </c>
      <c r="S383" s="842">
        <v>20579</v>
      </c>
      <c r="T383" s="25">
        <f t="shared" si="143"/>
        <v>1543425</v>
      </c>
      <c r="U383" s="452"/>
      <c r="V383" s="812"/>
      <c r="W383" s="842"/>
      <c r="X383" s="842"/>
      <c r="Y383" s="25"/>
    </row>
    <row r="384" spans="1:25">
      <c r="A384" s="796">
        <f>IF(B384&lt;&gt;"",A383+1,"")</f>
        <v>7</v>
      </c>
      <c r="B384" s="297" t="s">
        <v>1168</v>
      </c>
      <c r="C384" s="25">
        <f t="shared" ref="C384:C430" si="145">T384</f>
        <v>497735</v>
      </c>
      <c r="D384" s="797">
        <f t="shared" si="135"/>
        <v>60168.715250410074</v>
      </c>
      <c r="E384" s="797">
        <f t="shared" si="135"/>
        <v>18169.535393988455</v>
      </c>
      <c r="F384" s="797">
        <f t="shared" si="135"/>
        <v>34624.970709157911</v>
      </c>
      <c r="G384" s="797">
        <f t="shared" si="135"/>
        <v>27213.855100867011</v>
      </c>
      <c r="H384" s="797">
        <f t="shared" si="135"/>
        <v>0</v>
      </c>
      <c r="I384" s="25">
        <f t="shared" ref="I384:I430" si="146">SUM(C384:H384)</f>
        <v>637912.07645442337</v>
      </c>
      <c r="J384" s="797">
        <v>70</v>
      </c>
      <c r="K384" s="797">
        <f t="shared" ref="K384:K430" si="147">IF(J384&lt;&gt;"",I384/J384,"")</f>
        <v>9113.0296636346193</v>
      </c>
      <c r="L384" s="698"/>
      <c r="M384" s="698"/>
      <c r="N384" s="192" t="s">
        <v>1336</v>
      </c>
      <c r="O384" s="810">
        <f t="shared" si="137"/>
        <v>41092</v>
      </c>
      <c r="P384" s="810">
        <v>41095</v>
      </c>
      <c r="Q384" s="811" t="s">
        <v>1034</v>
      </c>
      <c r="R384" s="304">
        <v>35</v>
      </c>
      <c r="S384" s="842">
        <v>14221</v>
      </c>
      <c r="T384" s="25">
        <f t="shared" ref="T384:T430" si="148">ROUND(R384*S384,0)</f>
        <v>497735</v>
      </c>
      <c r="U384" s="452"/>
      <c r="V384" s="812"/>
      <c r="W384" s="842"/>
      <c r="X384" s="842"/>
      <c r="Y384" s="25"/>
    </row>
    <row r="385" spans="1:25">
      <c r="A385" s="796">
        <f t="shared" si="142"/>
        <v>8</v>
      </c>
      <c r="B385" s="297" t="s">
        <v>1167</v>
      </c>
      <c r="C385" s="25">
        <f t="shared" si="145"/>
        <v>3354780</v>
      </c>
      <c r="D385" s="797">
        <f t="shared" si="135"/>
        <v>1040059.2207570884</v>
      </c>
      <c r="E385" s="797">
        <f t="shared" si="135"/>
        <v>314073.3975246576</v>
      </c>
      <c r="F385" s="797">
        <f t="shared" si="135"/>
        <v>598517.35082972969</v>
      </c>
      <c r="G385" s="797">
        <f t="shared" si="135"/>
        <v>470410.92388641549</v>
      </c>
      <c r="H385" s="797">
        <f t="shared" si="135"/>
        <v>0</v>
      </c>
      <c r="I385" s="25">
        <f t="shared" si="146"/>
        <v>5777840.8929978916</v>
      </c>
      <c r="J385" s="797">
        <v>1210</v>
      </c>
      <c r="K385" s="797">
        <f t="shared" si="147"/>
        <v>4775.0751181800761</v>
      </c>
      <c r="L385" s="698"/>
      <c r="M385" s="698"/>
      <c r="N385" s="192" t="s">
        <v>1450</v>
      </c>
      <c r="O385" s="810">
        <f t="shared" si="137"/>
        <v>41093</v>
      </c>
      <c r="P385" s="810">
        <v>41096</v>
      </c>
      <c r="Q385" s="811" t="s">
        <v>1035</v>
      </c>
      <c r="R385" s="304">
        <v>260</v>
      </c>
      <c r="S385" s="842">
        <v>12903</v>
      </c>
      <c r="T385" s="25">
        <f t="shared" si="148"/>
        <v>3354780</v>
      </c>
      <c r="U385" s="452"/>
      <c r="V385" s="812"/>
      <c r="W385" s="842"/>
      <c r="X385" s="842"/>
      <c r="Y385" s="25"/>
    </row>
    <row r="386" spans="1:25">
      <c r="A386" s="796">
        <f t="shared" si="142"/>
        <v>9</v>
      </c>
      <c r="B386" s="297" t="s">
        <v>1131</v>
      </c>
      <c r="C386" s="25">
        <f t="shared" si="145"/>
        <v>3464560</v>
      </c>
      <c r="D386" s="797">
        <f t="shared" si="135"/>
        <v>266461.45325181604</v>
      </c>
      <c r="E386" s="797">
        <f t="shared" si="135"/>
        <v>80465.085316234588</v>
      </c>
      <c r="F386" s="797">
        <f t="shared" si="135"/>
        <v>153339.15599769933</v>
      </c>
      <c r="G386" s="797">
        <f t="shared" si="135"/>
        <v>120518.50116098247</v>
      </c>
      <c r="H386" s="797">
        <f t="shared" si="135"/>
        <v>0</v>
      </c>
      <c r="I386" s="25">
        <f t="shared" si="146"/>
        <v>4085344.1957267323</v>
      </c>
      <c r="J386" s="797">
        <v>310</v>
      </c>
      <c r="K386" s="797">
        <f t="shared" si="147"/>
        <v>13178.529663634619</v>
      </c>
      <c r="L386" s="698"/>
      <c r="M386" s="698"/>
      <c r="N386" s="192" t="s">
        <v>1386</v>
      </c>
      <c r="O386" s="810">
        <f t="shared" si="137"/>
        <v>41093</v>
      </c>
      <c r="P386" s="810">
        <v>41096</v>
      </c>
      <c r="Q386" s="811" t="s">
        <v>1035</v>
      </c>
      <c r="R386" s="304">
        <v>310</v>
      </c>
      <c r="S386" s="842">
        <v>11176</v>
      </c>
      <c r="T386" s="25">
        <f t="shared" si="148"/>
        <v>3464560</v>
      </c>
      <c r="U386" s="452"/>
      <c r="V386" s="812"/>
      <c r="W386" s="842"/>
      <c r="X386" s="842"/>
      <c r="Y386" s="25"/>
    </row>
    <row r="387" spans="1:25">
      <c r="A387" s="796">
        <f t="shared" si="142"/>
        <v>10</v>
      </c>
      <c r="B387" s="297" t="s">
        <v>1166</v>
      </c>
      <c r="C387" s="25">
        <f t="shared" si="145"/>
        <v>796068</v>
      </c>
      <c r="D387" s="797">
        <f t="shared" si="135"/>
        <v>278495.19630189805</v>
      </c>
      <c r="E387" s="797">
        <f t="shared" si="135"/>
        <v>84098.992395032285</v>
      </c>
      <c r="F387" s="797">
        <f t="shared" si="135"/>
        <v>160264.15013953092</v>
      </c>
      <c r="G387" s="797">
        <f t="shared" si="135"/>
        <v>125961.27218115587</v>
      </c>
      <c r="H387" s="797">
        <f t="shared" si="135"/>
        <v>0</v>
      </c>
      <c r="I387" s="25">
        <f t="shared" si="146"/>
        <v>1444887.6110176169</v>
      </c>
      <c r="J387" s="797">
        <v>324</v>
      </c>
      <c r="K387" s="797">
        <f t="shared" si="147"/>
        <v>4459.5296636346202</v>
      </c>
      <c r="L387" s="698"/>
      <c r="M387" s="698"/>
      <c r="N387" s="192" t="s">
        <v>1401</v>
      </c>
      <c r="O387" s="810">
        <f t="shared" si="137"/>
        <v>41093</v>
      </c>
      <c r="P387" s="810">
        <v>41096</v>
      </c>
      <c r="Q387" s="811" t="s">
        <v>1035</v>
      </c>
      <c r="R387" s="304">
        <f>J387/4</f>
        <v>81</v>
      </c>
      <c r="S387" s="842">
        <v>9828</v>
      </c>
      <c r="T387" s="25">
        <f t="shared" si="148"/>
        <v>796068</v>
      </c>
      <c r="U387" s="452"/>
      <c r="V387" s="812"/>
      <c r="W387" s="842"/>
      <c r="X387" s="842"/>
      <c r="Y387" s="25"/>
    </row>
    <row r="388" spans="1:25">
      <c r="A388" s="796">
        <f t="shared" si="142"/>
        <v>11</v>
      </c>
      <c r="B388" s="297" t="s">
        <v>1165</v>
      </c>
      <c r="C388" s="25">
        <f t="shared" si="145"/>
        <v>3096720</v>
      </c>
      <c r="D388" s="797">
        <f t="shared" ref="D388:H397" si="149">IF($J$452&lt;&gt;0,D$452/$J$452*$J388,0)</f>
        <v>951525.25403148506</v>
      </c>
      <c r="E388" s="797">
        <f t="shared" si="149"/>
        <v>287338.2240163603</v>
      </c>
      <c r="F388" s="797">
        <f t="shared" si="149"/>
        <v>547569.17964339734</v>
      </c>
      <c r="G388" s="797">
        <f t="shared" si="149"/>
        <v>430367.67995228257</v>
      </c>
      <c r="H388" s="797">
        <f t="shared" si="149"/>
        <v>0</v>
      </c>
      <c r="I388" s="25">
        <f t="shared" si="146"/>
        <v>5313520.3376435246</v>
      </c>
      <c r="J388" s="797">
        <v>1107</v>
      </c>
      <c r="K388" s="797">
        <f t="shared" si="147"/>
        <v>4799.9280376183597</v>
      </c>
      <c r="L388" s="698"/>
      <c r="M388" s="698"/>
      <c r="N388" s="192" t="s">
        <v>1450</v>
      </c>
      <c r="O388" s="810">
        <f t="shared" si="137"/>
        <v>41093</v>
      </c>
      <c r="P388" s="810">
        <v>41096</v>
      </c>
      <c r="Q388" s="811" t="s">
        <v>1036</v>
      </c>
      <c r="R388" s="304">
        <v>240</v>
      </c>
      <c r="S388" s="842">
        <v>12903</v>
      </c>
      <c r="T388" s="25">
        <f t="shared" si="148"/>
        <v>3096720</v>
      </c>
      <c r="U388" s="452"/>
      <c r="V388" s="812"/>
      <c r="W388" s="842"/>
      <c r="X388" s="842"/>
      <c r="Y388" s="25"/>
    </row>
    <row r="389" spans="1:25">
      <c r="A389" s="796">
        <f t="shared" si="142"/>
        <v>12</v>
      </c>
      <c r="B389" s="297" t="s">
        <v>1164</v>
      </c>
      <c r="C389" s="25">
        <f t="shared" si="145"/>
        <v>3303770</v>
      </c>
      <c r="D389" s="797">
        <f t="shared" si="149"/>
        <v>869867.71190592845</v>
      </c>
      <c r="E389" s="797">
        <f t="shared" si="149"/>
        <v>262679.56883880455</v>
      </c>
      <c r="F389" s="797">
        <f t="shared" si="149"/>
        <v>500578.14796668297</v>
      </c>
      <c r="G389" s="797">
        <f t="shared" si="149"/>
        <v>393434.59088682022</v>
      </c>
      <c r="H389" s="797">
        <f t="shared" si="149"/>
        <v>0</v>
      </c>
      <c r="I389" s="25">
        <f t="shared" si="146"/>
        <v>5330330.0195982363</v>
      </c>
      <c r="J389" s="797">
        <v>1012</v>
      </c>
      <c r="K389" s="797">
        <f t="shared" si="147"/>
        <v>5267.1245252947001</v>
      </c>
      <c r="L389" s="698"/>
      <c r="M389" s="698"/>
      <c r="N389" s="192" t="s">
        <v>1434</v>
      </c>
      <c r="O389" s="810">
        <f t="shared" si="137"/>
        <v>41101</v>
      </c>
      <c r="P389" s="810">
        <v>41104</v>
      </c>
      <c r="Q389" s="811" t="s">
        <v>426</v>
      </c>
      <c r="R389" s="304">
        <v>670</v>
      </c>
      <c r="S389" s="842">
        <v>4931</v>
      </c>
      <c r="T389" s="25">
        <f t="shared" si="148"/>
        <v>3303770</v>
      </c>
      <c r="U389" s="452"/>
      <c r="V389" s="812"/>
      <c r="W389" s="842"/>
      <c r="X389" s="842"/>
      <c r="Y389" s="25"/>
    </row>
    <row r="390" spans="1:25">
      <c r="A390" s="796">
        <f t="shared" si="142"/>
        <v>13</v>
      </c>
      <c r="B390" s="297" t="s">
        <v>1147</v>
      </c>
      <c r="C390" s="25">
        <f t="shared" si="145"/>
        <v>4752384</v>
      </c>
      <c r="D390" s="797">
        <f t="shared" si="149"/>
        <v>116899.21820079672</v>
      </c>
      <c r="E390" s="797">
        <f t="shared" si="149"/>
        <v>35300.811622606139</v>
      </c>
      <c r="F390" s="797">
        <f t="shared" si="149"/>
        <v>67271.371663506798</v>
      </c>
      <c r="G390" s="797">
        <f t="shared" si="149"/>
        <v>52872.632767398762</v>
      </c>
      <c r="H390" s="797">
        <f t="shared" si="149"/>
        <v>0</v>
      </c>
      <c r="I390" s="25">
        <f t="shared" si="146"/>
        <v>5024728.0342543088</v>
      </c>
      <c r="J390" s="797">
        <v>136</v>
      </c>
      <c r="K390" s="797">
        <f t="shared" si="147"/>
        <v>36946.529663634625</v>
      </c>
      <c r="L390" s="698"/>
      <c r="M390" s="698"/>
      <c r="N390" s="192" t="s">
        <v>1346</v>
      </c>
      <c r="O390" s="810">
        <f t="shared" si="137"/>
        <v>41101</v>
      </c>
      <c r="P390" s="810">
        <v>41104</v>
      </c>
      <c r="Q390" s="811" t="s">
        <v>756</v>
      </c>
      <c r="R390" s="304">
        <f>J390</f>
        <v>136</v>
      </c>
      <c r="S390" s="842">
        <v>34944</v>
      </c>
      <c r="T390" s="25">
        <f t="shared" si="148"/>
        <v>4752384</v>
      </c>
      <c r="U390" s="452"/>
      <c r="V390" s="812"/>
      <c r="W390" s="842"/>
      <c r="X390" s="842"/>
      <c r="Y390" s="25"/>
    </row>
    <row r="391" spans="1:25">
      <c r="A391" s="796">
        <f t="shared" si="142"/>
        <v>14</v>
      </c>
      <c r="B391" s="297" t="s">
        <v>1146</v>
      </c>
      <c r="C391" s="25">
        <f t="shared" si="145"/>
        <v>1905300</v>
      </c>
      <c r="D391" s="797">
        <f t="shared" si="149"/>
        <v>40398.994525275339</v>
      </c>
      <c r="E391" s="797">
        <f t="shared" si="149"/>
        <v>12199.545193106534</v>
      </c>
      <c r="F391" s="797">
        <f t="shared" si="149"/>
        <v>23248.194619006026</v>
      </c>
      <c r="G391" s="797">
        <f t="shared" si="149"/>
        <v>18272.15985343928</v>
      </c>
      <c r="H391" s="797">
        <f t="shared" si="149"/>
        <v>0</v>
      </c>
      <c r="I391" s="25">
        <f t="shared" si="146"/>
        <v>1999418.8941908274</v>
      </c>
      <c r="J391" s="797">
        <v>47</v>
      </c>
      <c r="K391" s="797">
        <f t="shared" si="147"/>
        <v>42540.827535975048</v>
      </c>
      <c r="L391" s="698"/>
      <c r="M391" s="698"/>
      <c r="N391" s="192" t="s">
        <v>1322</v>
      </c>
      <c r="O391" s="810">
        <f t="shared" si="137"/>
        <v>41101</v>
      </c>
      <c r="P391" s="810">
        <v>41104</v>
      </c>
      <c r="Q391" s="811" t="s">
        <v>756</v>
      </c>
      <c r="R391" s="304">
        <v>50</v>
      </c>
      <c r="S391" s="842">
        <v>38106</v>
      </c>
      <c r="T391" s="25">
        <f t="shared" si="148"/>
        <v>1905300</v>
      </c>
      <c r="U391" s="452"/>
      <c r="V391" s="812"/>
      <c r="W391" s="842"/>
      <c r="X391" s="842"/>
      <c r="Y391" s="25"/>
    </row>
    <row r="392" spans="1:25">
      <c r="A392" s="796">
        <f t="shared" si="142"/>
        <v>15</v>
      </c>
      <c r="B392" s="297" t="s">
        <v>1037</v>
      </c>
      <c r="C392" s="25">
        <f t="shared" si="145"/>
        <v>1309836</v>
      </c>
      <c r="D392" s="797">
        <f t="shared" si="149"/>
        <v>293967.15165200352</v>
      </c>
      <c r="E392" s="797">
        <f t="shared" si="149"/>
        <v>88771.158639200745</v>
      </c>
      <c r="F392" s="797">
        <f t="shared" si="149"/>
        <v>169167.71403617153</v>
      </c>
      <c r="G392" s="797">
        <f t="shared" si="149"/>
        <v>132959.12063566453</v>
      </c>
      <c r="H392" s="797">
        <f t="shared" si="149"/>
        <v>0</v>
      </c>
      <c r="I392" s="25">
        <f t="shared" si="146"/>
        <v>1994701.1449630405</v>
      </c>
      <c r="J392" s="797">
        <v>342</v>
      </c>
      <c r="K392" s="797">
        <f t="shared" si="147"/>
        <v>5832.4594881960247</v>
      </c>
      <c r="L392" s="698"/>
      <c r="M392" s="698"/>
      <c r="N392" s="192" t="s">
        <v>1284</v>
      </c>
      <c r="O392" s="810">
        <f t="shared" si="137"/>
        <v>41101</v>
      </c>
      <c r="P392" s="810">
        <v>41104</v>
      </c>
      <c r="Q392" s="811" t="s">
        <v>1038</v>
      </c>
      <c r="R392" s="304">
        <v>66</v>
      </c>
      <c r="S392" s="842">
        <v>19846</v>
      </c>
      <c r="T392" s="25">
        <f t="shared" si="148"/>
        <v>1309836</v>
      </c>
      <c r="U392" s="452"/>
      <c r="V392" s="812"/>
      <c r="W392" s="842"/>
      <c r="X392" s="842"/>
      <c r="Y392" s="25"/>
    </row>
    <row r="393" spans="1:25">
      <c r="A393" s="796">
        <f t="shared" si="142"/>
        <v>16</v>
      </c>
      <c r="B393" s="297" t="s">
        <v>1227</v>
      </c>
      <c r="C393" s="25">
        <f t="shared" si="145"/>
        <v>753713</v>
      </c>
      <c r="D393" s="797">
        <f t="shared" si="149"/>
        <v>90253.072875615107</v>
      </c>
      <c r="E393" s="797">
        <f t="shared" si="149"/>
        <v>27254.303090982681</v>
      </c>
      <c r="F393" s="797">
        <f t="shared" si="149"/>
        <v>51937.45606373687</v>
      </c>
      <c r="G393" s="797">
        <f t="shared" si="149"/>
        <v>40820.782651300513</v>
      </c>
      <c r="H393" s="797">
        <f t="shared" si="149"/>
        <v>0</v>
      </c>
      <c r="I393" s="25">
        <f t="shared" si="146"/>
        <v>963978.61468163528</v>
      </c>
      <c r="J393" s="797">
        <v>105</v>
      </c>
      <c r="K393" s="797">
        <f t="shared" si="147"/>
        <v>9180.7487112536692</v>
      </c>
      <c r="L393" s="698"/>
      <c r="M393" s="698"/>
      <c r="N393" s="192" t="s">
        <v>1336</v>
      </c>
      <c r="O393" s="810">
        <f t="shared" si="137"/>
        <v>41101</v>
      </c>
      <c r="P393" s="810">
        <v>41104</v>
      </c>
      <c r="Q393" s="811" t="s">
        <v>1038</v>
      </c>
      <c r="R393" s="304">
        <v>53</v>
      </c>
      <c r="S393" s="842">
        <v>14221</v>
      </c>
      <c r="T393" s="25">
        <f t="shared" si="148"/>
        <v>753713</v>
      </c>
      <c r="U393" s="452"/>
      <c r="V393" s="812"/>
      <c r="W393" s="842"/>
      <c r="X393" s="842"/>
      <c r="Y393" s="25"/>
    </row>
    <row r="394" spans="1:25">
      <c r="A394" s="796">
        <f t="shared" si="142"/>
        <v>17</v>
      </c>
      <c r="B394" s="297" t="s">
        <v>1152</v>
      </c>
      <c r="C394" s="25">
        <f t="shared" si="145"/>
        <v>3693827</v>
      </c>
      <c r="D394" s="797">
        <f t="shared" si="149"/>
        <v>1106244.8075325396</v>
      </c>
      <c r="E394" s="797">
        <f t="shared" si="149"/>
        <v>334059.88645804487</v>
      </c>
      <c r="F394" s="797">
        <f t="shared" si="149"/>
        <v>636604.81860980333</v>
      </c>
      <c r="G394" s="797">
        <f t="shared" si="149"/>
        <v>500346.1644973692</v>
      </c>
      <c r="H394" s="797">
        <f t="shared" si="149"/>
        <v>0</v>
      </c>
      <c r="I394" s="25">
        <f t="shared" si="146"/>
        <v>6271082.6770977564</v>
      </c>
      <c r="J394" s="797">
        <v>1287</v>
      </c>
      <c r="K394" s="797">
        <f t="shared" si="147"/>
        <v>4872.6361127410692</v>
      </c>
      <c r="L394" s="698"/>
      <c r="M394" s="698"/>
      <c r="N394" s="189" t="s">
        <v>1373</v>
      </c>
      <c r="O394" s="810">
        <f t="shared" si="137"/>
        <v>41102</v>
      </c>
      <c r="P394" s="810">
        <v>41105</v>
      </c>
      <c r="Q394" s="811" t="s">
        <v>429</v>
      </c>
      <c r="R394" s="304">
        <v>193</v>
      </c>
      <c r="S394" s="842">
        <v>19139</v>
      </c>
      <c r="T394" s="25">
        <f t="shared" si="148"/>
        <v>3693827</v>
      </c>
      <c r="U394" s="452"/>
      <c r="V394" s="812"/>
      <c r="W394" s="842"/>
      <c r="X394" s="842"/>
      <c r="Y394" s="25"/>
    </row>
    <row r="395" spans="1:25">
      <c r="A395" s="796">
        <f t="shared" si="142"/>
        <v>18</v>
      </c>
      <c r="B395" s="297" t="s">
        <v>1163</v>
      </c>
      <c r="C395" s="25">
        <f t="shared" si="145"/>
        <v>4835195</v>
      </c>
      <c r="D395" s="797">
        <f t="shared" si="149"/>
        <v>1009974.8631318834</v>
      </c>
      <c r="E395" s="797">
        <f t="shared" si="149"/>
        <v>304988.62982766336</v>
      </c>
      <c r="F395" s="797">
        <f t="shared" si="149"/>
        <v>581204.86547515064</v>
      </c>
      <c r="G395" s="797">
        <f t="shared" si="149"/>
        <v>456803.99633598194</v>
      </c>
      <c r="H395" s="797">
        <f t="shared" si="149"/>
        <v>0</v>
      </c>
      <c r="I395" s="25">
        <f t="shared" si="146"/>
        <v>7188167.35477068</v>
      </c>
      <c r="J395" s="797">
        <v>1175</v>
      </c>
      <c r="K395" s="797">
        <f t="shared" si="147"/>
        <v>6117.5892381027061</v>
      </c>
      <c r="L395" s="698"/>
      <c r="M395" s="698"/>
      <c r="N395" s="192" t="s">
        <v>1410</v>
      </c>
      <c r="O395" s="810">
        <f t="shared" si="137"/>
        <v>41102</v>
      </c>
      <c r="P395" s="810">
        <v>41105</v>
      </c>
      <c r="Q395" s="811" t="s">
        <v>429</v>
      </c>
      <c r="R395" s="304">
        <v>395</v>
      </c>
      <c r="S395" s="842">
        <v>12241</v>
      </c>
      <c r="T395" s="25">
        <f t="shared" si="148"/>
        <v>4835195</v>
      </c>
      <c r="U395" s="452"/>
      <c r="V395" s="812"/>
      <c r="W395" s="842"/>
      <c r="X395" s="842"/>
      <c r="Y395" s="25"/>
    </row>
    <row r="396" spans="1:25">
      <c r="A396" s="796">
        <f t="shared" si="142"/>
        <v>19</v>
      </c>
      <c r="B396" s="297" t="s">
        <v>1153</v>
      </c>
      <c r="C396" s="25">
        <f t="shared" si="145"/>
        <v>2774570</v>
      </c>
      <c r="D396" s="797">
        <f t="shared" si="149"/>
        <v>856114.86270583479</v>
      </c>
      <c r="E396" s="797">
        <f t="shared" si="149"/>
        <v>258526.53217732144</v>
      </c>
      <c r="F396" s="797">
        <f t="shared" si="149"/>
        <v>492663.86894744687</v>
      </c>
      <c r="G396" s="797">
        <f t="shared" si="149"/>
        <v>387214.28114947915</v>
      </c>
      <c r="H396" s="797">
        <f t="shared" si="149"/>
        <v>0</v>
      </c>
      <c r="I396" s="25">
        <f t="shared" si="146"/>
        <v>4769089.5449800827</v>
      </c>
      <c r="J396" s="797">
        <v>996</v>
      </c>
      <c r="K396" s="797">
        <f t="shared" si="147"/>
        <v>4788.2425150402432</v>
      </c>
      <c r="L396" s="698"/>
      <c r="M396" s="698"/>
      <c r="N396" s="192" t="s">
        <v>1400</v>
      </c>
      <c r="O396" s="810">
        <f t="shared" si="137"/>
        <v>41102</v>
      </c>
      <c r="P396" s="810">
        <v>41105</v>
      </c>
      <c r="Q396" s="811" t="s">
        <v>429</v>
      </c>
      <c r="R396" s="304">
        <v>170</v>
      </c>
      <c r="S396" s="842">
        <v>16321</v>
      </c>
      <c r="T396" s="25">
        <f t="shared" si="148"/>
        <v>2774570</v>
      </c>
      <c r="U396" s="452"/>
      <c r="V396" s="812"/>
      <c r="W396" s="842"/>
      <c r="X396" s="842"/>
      <c r="Y396" s="25"/>
    </row>
    <row r="397" spans="1:25">
      <c r="A397" s="796">
        <f t="shared" si="142"/>
        <v>20</v>
      </c>
      <c r="B397" s="297" t="s">
        <v>1162</v>
      </c>
      <c r="C397" s="25">
        <f t="shared" si="145"/>
        <v>4261200</v>
      </c>
      <c r="D397" s="797">
        <f t="shared" si="149"/>
        <v>864710.39345589338</v>
      </c>
      <c r="E397" s="797">
        <f t="shared" si="149"/>
        <v>261122.18009074838</v>
      </c>
      <c r="F397" s="797">
        <f t="shared" si="149"/>
        <v>497610.29333446943</v>
      </c>
      <c r="G397" s="797">
        <f t="shared" si="149"/>
        <v>391101.97473531734</v>
      </c>
      <c r="H397" s="797">
        <f t="shared" si="149"/>
        <v>0</v>
      </c>
      <c r="I397" s="25">
        <f t="shared" si="146"/>
        <v>6275744.8416164294</v>
      </c>
      <c r="J397" s="797">
        <v>1006</v>
      </c>
      <c r="K397" s="797">
        <f t="shared" si="147"/>
        <v>6238.3149519049994</v>
      </c>
      <c r="L397" s="698"/>
      <c r="M397" s="698"/>
      <c r="N397" s="192" t="s">
        <v>1432</v>
      </c>
      <c r="O397" s="810">
        <f t="shared" si="137"/>
        <v>41102</v>
      </c>
      <c r="P397" s="810">
        <v>41105</v>
      </c>
      <c r="Q397" s="811" t="s">
        <v>429</v>
      </c>
      <c r="R397" s="304">
        <v>400</v>
      </c>
      <c r="S397" s="842">
        <v>10653</v>
      </c>
      <c r="T397" s="25">
        <f t="shared" si="148"/>
        <v>4261200</v>
      </c>
      <c r="U397" s="452"/>
      <c r="V397" s="812"/>
      <c r="W397" s="842"/>
      <c r="X397" s="842"/>
      <c r="Y397" s="25"/>
    </row>
    <row r="398" spans="1:25">
      <c r="A398" s="796">
        <f t="shared" si="142"/>
        <v>21</v>
      </c>
      <c r="B398" s="297" t="s">
        <v>1161</v>
      </c>
      <c r="C398" s="25">
        <f t="shared" si="145"/>
        <v>3578993</v>
      </c>
      <c r="D398" s="797">
        <f t="shared" ref="D398:H407" si="150">IF($J$452&lt;&gt;0,D$452/$J$452*$J398,0)</f>
        <v>1108823.4667575571</v>
      </c>
      <c r="E398" s="797">
        <f t="shared" si="150"/>
        <v>334838.58083207294</v>
      </c>
      <c r="F398" s="797">
        <f t="shared" si="150"/>
        <v>638088.74592591007</v>
      </c>
      <c r="G398" s="797">
        <f t="shared" si="150"/>
        <v>501512.47257312061</v>
      </c>
      <c r="H398" s="797">
        <f t="shared" si="150"/>
        <v>0</v>
      </c>
      <c r="I398" s="25">
        <f t="shared" si="146"/>
        <v>6162256.2660886608</v>
      </c>
      <c r="J398" s="797">
        <v>1290</v>
      </c>
      <c r="K398" s="797">
        <f t="shared" si="147"/>
        <v>4776.9428419291944</v>
      </c>
      <c r="L398" s="698"/>
      <c r="M398" s="698"/>
      <c r="N398" s="189" t="s">
        <v>1373</v>
      </c>
      <c r="O398" s="810">
        <f t="shared" si="137"/>
        <v>41102</v>
      </c>
      <c r="P398" s="810">
        <v>41105</v>
      </c>
      <c r="Q398" s="811" t="s">
        <v>429</v>
      </c>
      <c r="R398" s="304">
        <v>187</v>
      </c>
      <c r="S398" s="842">
        <v>19139</v>
      </c>
      <c r="T398" s="25">
        <f t="shared" si="148"/>
        <v>3578993</v>
      </c>
      <c r="U398" s="452"/>
      <c r="V398" s="812"/>
      <c r="W398" s="842"/>
      <c r="X398" s="842"/>
      <c r="Y398" s="25"/>
    </row>
    <row r="399" spans="1:25">
      <c r="A399" s="796">
        <f t="shared" si="142"/>
        <v>22</v>
      </c>
      <c r="B399" s="297" t="s">
        <v>1160</v>
      </c>
      <c r="C399" s="25">
        <f t="shared" si="145"/>
        <v>3292640</v>
      </c>
      <c r="D399" s="797">
        <f t="shared" si="150"/>
        <v>528625.14112860279</v>
      </c>
      <c r="E399" s="797">
        <f t="shared" si="150"/>
        <v>159632.34667575572</v>
      </c>
      <c r="F399" s="797">
        <f t="shared" si="150"/>
        <v>304205.09980188735</v>
      </c>
      <c r="G399" s="797">
        <f t="shared" si="150"/>
        <v>239093.15552904588</v>
      </c>
      <c r="H399" s="797">
        <f t="shared" si="150"/>
        <v>0</v>
      </c>
      <c r="I399" s="25">
        <f t="shared" si="146"/>
        <v>4524195.7431352921</v>
      </c>
      <c r="J399" s="797">
        <v>615</v>
      </c>
      <c r="K399" s="797">
        <f t="shared" si="147"/>
        <v>7356.4158424964098</v>
      </c>
      <c r="L399" s="698"/>
      <c r="M399" s="698"/>
      <c r="N399" s="192" t="s">
        <v>1332</v>
      </c>
      <c r="O399" s="810">
        <f t="shared" si="137"/>
        <v>41114</v>
      </c>
      <c r="P399" s="810">
        <v>41117</v>
      </c>
      <c r="Q399" s="811" t="s">
        <v>1039</v>
      </c>
      <c r="R399" s="304">
        <v>160</v>
      </c>
      <c r="S399" s="842">
        <v>20579</v>
      </c>
      <c r="T399" s="25">
        <f t="shared" si="148"/>
        <v>3292640</v>
      </c>
      <c r="U399" s="452"/>
      <c r="V399" s="812"/>
      <c r="W399" s="842"/>
      <c r="X399" s="842"/>
      <c r="Y399" s="25"/>
    </row>
    <row r="400" spans="1:25">
      <c r="A400" s="796">
        <f t="shared" si="142"/>
        <v>23</v>
      </c>
      <c r="B400" s="297" t="s">
        <v>1132</v>
      </c>
      <c r="C400" s="25">
        <f t="shared" si="145"/>
        <v>1951300</v>
      </c>
      <c r="D400" s="797">
        <f t="shared" si="150"/>
        <v>171910.61500117165</v>
      </c>
      <c r="E400" s="797">
        <f t="shared" si="150"/>
        <v>51912.958268538445</v>
      </c>
      <c r="F400" s="797">
        <f t="shared" si="150"/>
        <v>98928.487740451179</v>
      </c>
      <c r="G400" s="797">
        <f t="shared" si="150"/>
        <v>77753.871716762893</v>
      </c>
      <c r="H400" s="797">
        <f t="shared" si="150"/>
        <v>0</v>
      </c>
      <c r="I400" s="25">
        <f t="shared" si="146"/>
        <v>2351805.9327269243</v>
      </c>
      <c r="J400" s="797">
        <v>200</v>
      </c>
      <c r="K400" s="797">
        <f t="shared" si="147"/>
        <v>11759.029663634621</v>
      </c>
      <c r="L400" s="698"/>
      <c r="M400" s="698"/>
      <c r="N400" s="192" t="s">
        <v>1268</v>
      </c>
      <c r="O400" s="810">
        <f t="shared" si="137"/>
        <v>41114</v>
      </c>
      <c r="P400" s="810">
        <v>41117</v>
      </c>
      <c r="Q400" s="811" t="s">
        <v>1039</v>
      </c>
      <c r="R400" s="304">
        <v>100</v>
      </c>
      <c r="S400" s="842">
        <v>19513</v>
      </c>
      <c r="T400" s="25">
        <f t="shared" si="148"/>
        <v>1951300</v>
      </c>
      <c r="U400" s="452"/>
      <c r="V400" s="812"/>
      <c r="W400" s="842"/>
      <c r="X400" s="842"/>
      <c r="Y400" s="25"/>
    </row>
    <row r="401" spans="1:25">
      <c r="A401" s="796">
        <f t="shared" si="142"/>
        <v>24</v>
      </c>
      <c r="B401" s="297" t="s">
        <v>1158</v>
      </c>
      <c r="C401" s="25">
        <f t="shared" si="145"/>
        <v>3526380</v>
      </c>
      <c r="D401" s="797">
        <f t="shared" si="150"/>
        <v>171910.61500117165</v>
      </c>
      <c r="E401" s="797">
        <f t="shared" si="150"/>
        <v>51912.958268538445</v>
      </c>
      <c r="F401" s="797">
        <f t="shared" si="150"/>
        <v>98928.487740451179</v>
      </c>
      <c r="G401" s="797">
        <f t="shared" si="150"/>
        <v>77753.871716762893</v>
      </c>
      <c r="H401" s="797">
        <f t="shared" si="150"/>
        <v>0</v>
      </c>
      <c r="I401" s="25">
        <f t="shared" si="146"/>
        <v>3926885.9327269243</v>
      </c>
      <c r="J401" s="797">
        <v>200</v>
      </c>
      <c r="K401" s="797">
        <f t="shared" si="147"/>
        <v>19634.429663634623</v>
      </c>
      <c r="L401" s="698"/>
      <c r="M401" s="698"/>
      <c r="N401" s="192" t="s">
        <v>1335</v>
      </c>
      <c r="O401" s="810">
        <f t="shared" si="137"/>
        <v>41114</v>
      </c>
      <c r="P401" s="810">
        <v>41117</v>
      </c>
      <c r="Q401" s="811" t="s">
        <v>1040</v>
      </c>
      <c r="R401" s="304">
        <v>220</v>
      </c>
      <c r="S401" s="842">
        <v>16029</v>
      </c>
      <c r="T401" s="25">
        <f t="shared" si="148"/>
        <v>3526380</v>
      </c>
      <c r="U401" s="452"/>
      <c r="V401" s="812"/>
      <c r="W401" s="842"/>
      <c r="X401" s="842"/>
      <c r="Y401" s="25"/>
    </row>
    <row r="402" spans="1:25">
      <c r="A402" s="796">
        <f t="shared" si="142"/>
        <v>25</v>
      </c>
      <c r="B402" s="297" t="s">
        <v>1159</v>
      </c>
      <c r="C402" s="25">
        <f t="shared" si="145"/>
        <v>478475</v>
      </c>
      <c r="D402" s="797">
        <f t="shared" si="150"/>
        <v>171910.61500117165</v>
      </c>
      <c r="E402" s="797">
        <f t="shared" si="150"/>
        <v>51912.958268538445</v>
      </c>
      <c r="F402" s="797">
        <f t="shared" si="150"/>
        <v>98928.487740451179</v>
      </c>
      <c r="G402" s="797">
        <f t="shared" si="150"/>
        <v>77753.871716762893</v>
      </c>
      <c r="H402" s="797">
        <f t="shared" si="150"/>
        <v>0</v>
      </c>
      <c r="I402" s="25">
        <f t="shared" si="146"/>
        <v>878980.93272692407</v>
      </c>
      <c r="J402" s="797">
        <v>200</v>
      </c>
      <c r="K402" s="797">
        <f t="shared" si="147"/>
        <v>4394.9046636346202</v>
      </c>
      <c r="L402" s="698"/>
      <c r="M402" s="698"/>
      <c r="N402" s="189" t="s">
        <v>1373</v>
      </c>
      <c r="O402" s="810">
        <f t="shared" si="137"/>
        <v>41114</v>
      </c>
      <c r="P402" s="810">
        <v>41117</v>
      </c>
      <c r="Q402" s="811" t="s">
        <v>1040</v>
      </c>
      <c r="R402" s="304">
        <f>J402/8</f>
        <v>25</v>
      </c>
      <c r="S402" s="842">
        <v>19139</v>
      </c>
      <c r="T402" s="25">
        <f t="shared" si="148"/>
        <v>478475</v>
      </c>
      <c r="U402" s="452"/>
      <c r="V402" s="812"/>
      <c r="W402" s="842"/>
      <c r="X402" s="842"/>
      <c r="Y402" s="25"/>
    </row>
    <row r="403" spans="1:25">
      <c r="A403" s="796">
        <f t="shared" si="142"/>
        <v>26</v>
      </c>
      <c r="B403" s="297" t="s">
        <v>1157</v>
      </c>
      <c r="C403" s="25">
        <f t="shared" si="145"/>
        <v>3746568</v>
      </c>
      <c r="D403" s="797">
        <f t="shared" si="150"/>
        <v>433214.74980295252</v>
      </c>
      <c r="E403" s="797">
        <f t="shared" si="150"/>
        <v>130820.65483671687</v>
      </c>
      <c r="F403" s="797">
        <f t="shared" si="150"/>
        <v>249299.78910593697</v>
      </c>
      <c r="G403" s="797">
        <f t="shared" si="150"/>
        <v>195939.75672624249</v>
      </c>
      <c r="H403" s="797">
        <f t="shared" si="150"/>
        <v>0</v>
      </c>
      <c r="I403" s="25">
        <f t="shared" si="146"/>
        <v>4755842.9504718492</v>
      </c>
      <c r="J403" s="797">
        <v>504</v>
      </c>
      <c r="K403" s="797">
        <f t="shared" si="147"/>
        <v>9436.1963303012872</v>
      </c>
      <c r="L403" s="698"/>
      <c r="M403" s="698"/>
      <c r="N403" s="192" t="s">
        <v>1309</v>
      </c>
      <c r="O403" s="810">
        <f t="shared" si="137"/>
        <v>41114</v>
      </c>
      <c r="P403" s="810">
        <v>41117</v>
      </c>
      <c r="Q403" s="811" t="s">
        <v>430</v>
      </c>
      <c r="R403" s="304">
        <f>J403/3</f>
        <v>168</v>
      </c>
      <c r="S403" s="842">
        <v>22301</v>
      </c>
      <c r="T403" s="25">
        <f t="shared" si="148"/>
        <v>3746568</v>
      </c>
      <c r="U403" s="452"/>
      <c r="V403" s="812"/>
      <c r="W403" s="842"/>
      <c r="X403" s="842"/>
      <c r="Y403" s="25"/>
    </row>
    <row r="404" spans="1:25">
      <c r="A404" s="796">
        <f t="shared" si="142"/>
        <v>27</v>
      </c>
      <c r="B404" s="297" t="s">
        <v>551</v>
      </c>
      <c r="C404" s="25">
        <f t="shared" si="145"/>
        <v>219414</v>
      </c>
      <c r="D404" s="797">
        <f t="shared" si="150"/>
        <v>429776.5375029291</v>
      </c>
      <c r="E404" s="797">
        <f t="shared" si="150"/>
        <v>129782.39567134611</v>
      </c>
      <c r="F404" s="797">
        <f t="shared" si="150"/>
        <v>247321.21935112795</v>
      </c>
      <c r="G404" s="797">
        <f t="shared" si="150"/>
        <v>194384.67929190723</v>
      </c>
      <c r="H404" s="797">
        <f t="shared" si="150"/>
        <v>0</v>
      </c>
      <c r="I404" s="25">
        <f t="shared" si="146"/>
        <v>1220678.8318173103</v>
      </c>
      <c r="J404" s="797">
        <v>500</v>
      </c>
      <c r="K404" s="797">
        <f t="shared" si="147"/>
        <v>2441.3576636346206</v>
      </c>
      <c r="L404" s="698"/>
      <c r="M404" s="698"/>
      <c r="N404" s="192" t="s">
        <v>1278</v>
      </c>
      <c r="O404" s="810">
        <f t="shared" si="137"/>
        <v>41115</v>
      </c>
      <c r="P404" s="810">
        <v>41118</v>
      </c>
      <c r="Q404" s="811" t="s">
        <v>1041</v>
      </c>
      <c r="R404" s="304">
        <v>13</v>
      </c>
      <c r="S404" s="842">
        <v>16878</v>
      </c>
      <c r="T404" s="25">
        <f t="shared" si="148"/>
        <v>219414</v>
      </c>
      <c r="U404" s="452"/>
      <c r="V404" s="812"/>
      <c r="W404" s="842"/>
      <c r="X404" s="842"/>
      <c r="Y404" s="25"/>
    </row>
    <row r="405" spans="1:25">
      <c r="A405" s="796">
        <f t="shared" si="142"/>
        <v>28</v>
      </c>
      <c r="B405" s="297" t="s">
        <v>1499</v>
      </c>
      <c r="C405" s="25">
        <f t="shared" si="145"/>
        <v>393120</v>
      </c>
      <c r="D405" s="797">
        <f t="shared" si="150"/>
        <v>104005.92207570885</v>
      </c>
      <c r="E405" s="797">
        <f t="shared" si="150"/>
        <v>31407.339752465759</v>
      </c>
      <c r="F405" s="797">
        <f t="shared" si="150"/>
        <v>59851.735082972962</v>
      </c>
      <c r="G405" s="797">
        <f t="shared" si="150"/>
        <v>47041.092388641548</v>
      </c>
      <c r="H405" s="797">
        <f t="shared" si="150"/>
        <v>0</v>
      </c>
      <c r="I405" s="25">
        <f t="shared" si="146"/>
        <v>635426.08929978905</v>
      </c>
      <c r="J405" s="797">
        <v>121</v>
      </c>
      <c r="K405" s="797">
        <f t="shared" si="147"/>
        <v>5251.4552834693313</v>
      </c>
      <c r="L405" s="698"/>
      <c r="M405" s="698"/>
      <c r="N405" s="192" t="s">
        <v>1401</v>
      </c>
      <c r="O405" s="810">
        <f t="shared" si="137"/>
        <v>41115</v>
      </c>
      <c r="P405" s="810">
        <v>41118</v>
      </c>
      <c r="Q405" s="811" t="s">
        <v>1043</v>
      </c>
      <c r="R405" s="304">
        <v>40</v>
      </c>
      <c r="S405" s="842">
        <v>9828</v>
      </c>
      <c r="T405" s="25">
        <f t="shared" si="148"/>
        <v>393120</v>
      </c>
      <c r="U405" s="452"/>
      <c r="V405" s="812"/>
      <c r="W405" s="842"/>
      <c r="X405" s="842"/>
      <c r="Y405" s="25"/>
    </row>
    <row r="406" spans="1:25">
      <c r="A406" s="796">
        <f t="shared" si="142"/>
        <v>29</v>
      </c>
      <c r="B406" s="297" t="s">
        <v>1533</v>
      </c>
      <c r="C406" s="25">
        <f t="shared" si="145"/>
        <v>675900</v>
      </c>
      <c r="D406" s="797">
        <f t="shared" si="150"/>
        <v>130652.06740089045</v>
      </c>
      <c r="E406" s="797">
        <f t="shared" si="150"/>
        <v>39453.848284089217</v>
      </c>
      <c r="F406" s="797">
        <f t="shared" si="150"/>
        <v>75185.650682742897</v>
      </c>
      <c r="G406" s="797">
        <f t="shared" si="150"/>
        <v>59092.942504739796</v>
      </c>
      <c r="H406" s="797">
        <f t="shared" si="150"/>
        <v>0</v>
      </c>
      <c r="I406" s="25">
        <f t="shared" si="146"/>
        <v>980284.50887246244</v>
      </c>
      <c r="J406" s="797">
        <v>152</v>
      </c>
      <c r="K406" s="797">
        <f t="shared" si="147"/>
        <v>6449.2401899504111</v>
      </c>
      <c r="L406" s="698"/>
      <c r="M406" s="698"/>
      <c r="N406" s="192" t="s">
        <v>1414</v>
      </c>
      <c r="O406" s="810">
        <f t="shared" si="137"/>
        <v>41115</v>
      </c>
      <c r="P406" s="810">
        <v>41118</v>
      </c>
      <c r="Q406" s="811" t="s">
        <v>1043</v>
      </c>
      <c r="R406" s="304">
        <v>90</v>
      </c>
      <c r="S406" s="842">
        <v>7510</v>
      </c>
      <c r="T406" s="25">
        <f t="shared" si="148"/>
        <v>675900</v>
      </c>
      <c r="U406" s="452"/>
      <c r="V406" s="812"/>
      <c r="W406" s="842"/>
      <c r="X406" s="842"/>
      <c r="Y406" s="25"/>
    </row>
    <row r="407" spans="1:25">
      <c r="A407" s="796">
        <f t="shared" si="142"/>
        <v>30</v>
      </c>
      <c r="B407" s="297" t="s">
        <v>1497</v>
      </c>
      <c r="C407" s="25">
        <f t="shared" si="145"/>
        <v>395640</v>
      </c>
      <c r="D407" s="797">
        <f t="shared" si="150"/>
        <v>63606.927550433509</v>
      </c>
      <c r="E407" s="797">
        <f t="shared" si="150"/>
        <v>19207.794559359223</v>
      </c>
      <c r="F407" s="797">
        <f t="shared" si="150"/>
        <v>36603.540463966936</v>
      </c>
      <c r="G407" s="797">
        <f t="shared" si="150"/>
        <v>28768.932535202268</v>
      </c>
      <c r="H407" s="797">
        <f t="shared" si="150"/>
        <v>0</v>
      </c>
      <c r="I407" s="25">
        <f t="shared" si="146"/>
        <v>543827.1951089619</v>
      </c>
      <c r="J407" s="797">
        <v>74</v>
      </c>
      <c r="K407" s="797">
        <f t="shared" si="147"/>
        <v>7349.0161501211069</v>
      </c>
      <c r="L407" s="698"/>
      <c r="M407" s="698"/>
      <c r="N407" s="192" t="s">
        <v>1442</v>
      </c>
      <c r="O407" s="810">
        <f t="shared" si="137"/>
        <v>41115</v>
      </c>
      <c r="P407" s="810">
        <v>41118</v>
      </c>
      <c r="Q407" s="811" t="s">
        <v>1043</v>
      </c>
      <c r="R407" s="304">
        <v>40</v>
      </c>
      <c r="S407" s="842">
        <v>9891</v>
      </c>
      <c r="T407" s="25">
        <f t="shared" si="148"/>
        <v>395640</v>
      </c>
      <c r="U407" s="452"/>
      <c r="V407" s="812"/>
      <c r="W407" s="842"/>
      <c r="X407" s="842"/>
      <c r="Y407" s="25"/>
    </row>
    <row r="408" spans="1:25">
      <c r="A408" s="796">
        <f t="shared" si="142"/>
        <v>31</v>
      </c>
      <c r="B408" s="297" t="s">
        <v>1501</v>
      </c>
      <c r="C408" s="25">
        <f t="shared" si="145"/>
        <v>726180</v>
      </c>
      <c r="D408" s="797">
        <f t="shared" ref="D408:H417" si="151">IF($J$452&lt;&gt;0,D$452/$J$452*$J408,0)</f>
        <v>107444.13437573228</v>
      </c>
      <c r="E408" s="797">
        <f t="shared" si="151"/>
        <v>32445.598917836527</v>
      </c>
      <c r="F408" s="797">
        <f t="shared" si="151"/>
        <v>61830.304837781987</v>
      </c>
      <c r="G408" s="797">
        <f t="shared" si="151"/>
        <v>48596.169822976808</v>
      </c>
      <c r="H408" s="797">
        <f t="shared" si="151"/>
        <v>0</v>
      </c>
      <c r="I408" s="25">
        <f t="shared" si="146"/>
        <v>976496.20795432758</v>
      </c>
      <c r="J408" s="797">
        <v>125</v>
      </c>
      <c r="K408" s="797">
        <f t="shared" si="147"/>
        <v>7811.9696636346207</v>
      </c>
      <c r="L408" s="698"/>
      <c r="M408" s="698"/>
      <c r="N408" s="192" t="s">
        <v>1448</v>
      </c>
      <c r="O408" s="810">
        <f t="shared" si="137"/>
        <v>41115</v>
      </c>
      <c r="P408" s="810">
        <v>41118</v>
      </c>
      <c r="Q408" s="811" t="s">
        <v>1043</v>
      </c>
      <c r="R408" s="304">
        <v>70</v>
      </c>
      <c r="S408" s="293">
        <v>10374</v>
      </c>
      <c r="T408" s="25">
        <f t="shared" si="148"/>
        <v>726180</v>
      </c>
      <c r="U408" s="452"/>
      <c r="V408" s="812"/>
      <c r="W408" s="842"/>
      <c r="X408" s="842"/>
      <c r="Y408" s="25"/>
    </row>
    <row r="409" spans="1:25">
      <c r="A409" s="796">
        <f t="shared" si="142"/>
        <v>32</v>
      </c>
      <c r="B409" s="297" t="s">
        <v>1534</v>
      </c>
      <c r="C409" s="25">
        <f t="shared" si="145"/>
        <v>284420</v>
      </c>
      <c r="D409" s="797">
        <f t="shared" si="151"/>
        <v>34382.123000234329</v>
      </c>
      <c r="E409" s="797">
        <f t="shared" si="151"/>
        <v>10382.591653707688</v>
      </c>
      <c r="F409" s="797">
        <f t="shared" si="151"/>
        <v>19785.697548090237</v>
      </c>
      <c r="G409" s="797">
        <f t="shared" si="151"/>
        <v>15550.774343352577</v>
      </c>
      <c r="H409" s="797">
        <f t="shared" si="151"/>
        <v>0</v>
      </c>
      <c r="I409" s="25">
        <f t="shared" si="146"/>
        <v>364521.18654538481</v>
      </c>
      <c r="J409" s="797">
        <v>40</v>
      </c>
      <c r="K409" s="797">
        <f t="shared" si="147"/>
        <v>9113.0296636346211</v>
      </c>
      <c r="L409" s="698"/>
      <c r="M409" s="698"/>
      <c r="N409" s="192" t="s">
        <v>1336</v>
      </c>
      <c r="O409" s="810">
        <f t="shared" si="137"/>
        <v>41115</v>
      </c>
      <c r="P409" s="810">
        <v>41118</v>
      </c>
      <c r="Q409" s="811" t="s">
        <v>1043</v>
      </c>
      <c r="R409" s="304">
        <v>20</v>
      </c>
      <c r="S409" s="842">
        <v>14221</v>
      </c>
      <c r="T409" s="25">
        <f t="shared" si="148"/>
        <v>284420</v>
      </c>
      <c r="U409" s="452"/>
      <c r="V409" s="812"/>
      <c r="W409" s="842"/>
      <c r="X409" s="842"/>
      <c r="Y409" s="25"/>
    </row>
    <row r="410" spans="1:25">
      <c r="A410" s="796">
        <f t="shared" si="142"/>
        <v>33</v>
      </c>
      <c r="B410" s="297" t="s">
        <v>1527</v>
      </c>
      <c r="C410" s="25">
        <f t="shared" si="145"/>
        <v>156431</v>
      </c>
      <c r="D410" s="797">
        <f t="shared" si="151"/>
        <v>12893.296125087872</v>
      </c>
      <c r="E410" s="797">
        <f t="shared" si="151"/>
        <v>3893.4718701403831</v>
      </c>
      <c r="F410" s="797">
        <f t="shared" si="151"/>
        <v>7419.6365805338382</v>
      </c>
      <c r="G410" s="797">
        <f t="shared" si="151"/>
        <v>5831.5403787572168</v>
      </c>
      <c r="H410" s="797">
        <f t="shared" si="151"/>
        <v>0</v>
      </c>
      <c r="I410" s="25">
        <f t="shared" si="146"/>
        <v>186468.94495451933</v>
      </c>
      <c r="J410" s="797">
        <v>15</v>
      </c>
      <c r="K410" s="797">
        <f t="shared" si="147"/>
        <v>12431.262996967956</v>
      </c>
      <c r="L410" s="698"/>
      <c r="M410" s="698"/>
      <c r="N410" s="192" t="s">
        <v>1336</v>
      </c>
      <c r="O410" s="810">
        <f t="shared" si="137"/>
        <v>41115</v>
      </c>
      <c r="P410" s="810">
        <v>41118</v>
      </c>
      <c r="Q410" s="811" t="s">
        <v>1043</v>
      </c>
      <c r="R410" s="304">
        <v>11</v>
      </c>
      <c r="S410" s="842">
        <v>14221</v>
      </c>
      <c r="T410" s="25">
        <f t="shared" si="148"/>
        <v>156431</v>
      </c>
      <c r="U410" s="452"/>
      <c r="V410" s="812"/>
      <c r="W410" s="842"/>
      <c r="X410" s="842"/>
      <c r="Y410" s="25"/>
    </row>
    <row r="411" spans="1:25">
      <c r="A411" s="796">
        <f t="shared" si="142"/>
        <v>34</v>
      </c>
      <c r="B411" s="297" t="s">
        <v>1503</v>
      </c>
      <c r="C411" s="25">
        <f t="shared" si="145"/>
        <v>414960</v>
      </c>
      <c r="D411" s="797">
        <f t="shared" si="151"/>
        <v>64466.480625439362</v>
      </c>
      <c r="E411" s="797">
        <f t="shared" si="151"/>
        <v>19467.359350701918</v>
      </c>
      <c r="F411" s="797">
        <f t="shared" si="151"/>
        <v>37098.182902669192</v>
      </c>
      <c r="G411" s="797">
        <f t="shared" si="151"/>
        <v>29157.701893786081</v>
      </c>
      <c r="H411" s="797">
        <f t="shared" si="151"/>
        <v>0</v>
      </c>
      <c r="I411" s="25">
        <f t="shared" si="146"/>
        <v>565149.72477259662</v>
      </c>
      <c r="J411" s="797">
        <v>75</v>
      </c>
      <c r="K411" s="797">
        <f t="shared" si="147"/>
        <v>7535.3296636346213</v>
      </c>
      <c r="L411" s="698"/>
      <c r="M411" s="698"/>
      <c r="N411" s="192" t="s">
        <v>1448</v>
      </c>
      <c r="O411" s="810">
        <f t="shared" si="137"/>
        <v>41115</v>
      </c>
      <c r="P411" s="810">
        <v>41118</v>
      </c>
      <c r="Q411" s="811" t="s">
        <v>1043</v>
      </c>
      <c r="R411" s="304">
        <v>40</v>
      </c>
      <c r="S411" s="293">
        <v>10374</v>
      </c>
      <c r="T411" s="25">
        <f t="shared" si="148"/>
        <v>414960</v>
      </c>
      <c r="U411" s="452"/>
      <c r="V411" s="812"/>
      <c r="W411" s="842"/>
      <c r="X411" s="842"/>
      <c r="Y411" s="25"/>
    </row>
    <row r="412" spans="1:25">
      <c r="A412" s="796">
        <f t="shared" si="142"/>
        <v>35</v>
      </c>
      <c r="B412" s="297" t="s">
        <v>1512</v>
      </c>
      <c r="C412" s="25">
        <f t="shared" si="145"/>
        <v>725271</v>
      </c>
      <c r="D412" s="797">
        <f t="shared" si="151"/>
        <v>87674.413650597533</v>
      </c>
      <c r="E412" s="797">
        <f t="shared" si="151"/>
        <v>26475.608716954604</v>
      </c>
      <c r="F412" s="797">
        <f t="shared" si="151"/>
        <v>50453.528747630102</v>
      </c>
      <c r="G412" s="797">
        <f t="shared" si="151"/>
        <v>39654.474575549073</v>
      </c>
      <c r="H412" s="797">
        <f t="shared" si="151"/>
        <v>0</v>
      </c>
      <c r="I412" s="25">
        <f t="shared" si="146"/>
        <v>929529.02569073136</v>
      </c>
      <c r="J412" s="797">
        <v>102</v>
      </c>
      <c r="K412" s="797">
        <f t="shared" si="147"/>
        <v>9113.0296636346211</v>
      </c>
      <c r="L412" s="698"/>
      <c r="M412" s="698"/>
      <c r="N412" s="192" t="s">
        <v>1336</v>
      </c>
      <c r="O412" s="810">
        <f t="shared" si="137"/>
        <v>41115</v>
      </c>
      <c r="P412" s="810">
        <v>41118</v>
      </c>
      <c r="Q412" s="811" t="s">
        <v>1043</v>
      </c>
      <c r="R412" s="304">
        <v>51</v>
      </c>
      <c r="S412" s="842">
        <v>14221</v>
      </c>
      <c r="T412" s="25">
        <f t="shared" si="148"/>
        <v>725271</v>
      </c>
      <c r="U412" s="452"/>
      <c r="V412" s="812"/>
      <c r="W412" s="842"/>
      <c r="X412" s="842"/>
      <c r="Y412" s="25"/>
    </row>
    <row r="413" spans="1:25">
      <c r="A413" s="796">
        <f t="shared" si="142"/>
        <v>36</v>
      </c>
      <c r="B413" s="297" t="s">
        <v>1121</v>
      </c>
      <c r="C413" s="25">
        <f t="shared" si="145"/>
        <v>4226510</v>
      </c>
      <c r="D413" s="797">
        <f t="shared" si="151"/>
        <v>765002.23675521382</v>
      </c>
      <c r="E413" s="797">
        <f t="shared" si="151"/>
        <v>231012.66429499607</v>
      </c>
      <c r="F413" s="797">
        <f t="shared" si="151"/>
        <v>440231.77044500777</v>
      </c>
      <c r="G413" s="797">
        <f t="shared" si="151"/>
        <v>346004.72913959483</v>
      </c>
      <c r="H413" s="797">
        <f t="shared" si="151"/>
        <v>0</v>
      </c>
      <c r="I413" s="25">
        <f t="shared" si="146"/>
        <v>6008761.4006348122</v>
      </c>
      <c r="J413" s="797">
        <v>890</v>
      </c>
      <c r="K413" s="797">
        <f t="shared" si="147"/>
        <v>6751.4173040840587</v>
      </c>
      <c r="L413" s="698"/>
      <c r="M413" s="698"/>
      <c r="N413" s="192" t="s">
        <v>1269</v>
      </c>
      <c r="O413" s="810">
        <f t="shared" si="137"/>
        <v>41118</v>
      </c>
      <c r="P413" s="810">
        <v>41121</v>
      </c>
      <c r="Q413" s="811" t="s">
        <v>1044</v>
      </c>
      <c r="R413" s="304">
        <v>185</v>
      </c>
      <c r="S413" s="842">
        <v>22846</v>
      </c>
      <c r="T413" s="25">
        <f t="shared" si="148"/>
        <v>4226510</v>
      </c>
      <c r="U413" s="452"/>
      <c r="V413" s="812"/>
      <c r="W413" s="842"/>
      <c r="X413" s="842"/>
      <c r="Y413" s="25"/>
    </row>
    <row r="414" spans="1:25">
      <c r="A414" s="796">
        <f t="shared" si="142"/>
        <v>37</v>
      </c>
      <c r="B414" s="297" t="s">
        <v>1069</v>
      </c>
      <c r="C414" s="25">
        <f t="shared" si="145"/>
        <v>253170</v>
      </c>
      <c r="D414" s="797">
        <f t="shared" si="151"/>
        <v>64466.480625439362</v>
      </c>
      <c r="E414" s="797">
        <f t="shared" si="151"/>
        <v>19467.359350701918</v>
      </c>
      <c r="F414" s="797">
        <f t="shared" si="151"/>
        <v>37098.182902669192</v>
      </c>
      <c r="G414" s="797">
        <f t="shared" si="151"/>
        <v>29157.701893786081</v>
      </c>
      <c r="H414" s="797">
        <f t="shared" si="151"/>
        <v>0</v>
      </c>
      <c r="I414" s="25">
        <f t="shared" si="146"/>
        <v>403359.72477259656</v>
      </c>
      <c r="J414" s="797">
        <v>75</v>
      </c>
      <c r="K414" s="797">
        <f t="shared" si="147"/>
        <v>5378.1296636346206</v>
      </c>
      <c r="L414" s="698"/>
      <c r="M414" s="698"/>
      <c r="N414" s="192" t="s">
        <v>1278</v>
      </c>
      <c r="O414" s="810">
        <f t="shared" si="137"/>
        <v>41119</v>
      </c>
      <c r="P414" s="810">
        <v>41122</v>
      </c>
      <c r="Q414" s="811" t="s">
        <v>1045</v>
      </c>
      <c r="R414" s="304">
        <v>15</v>
      </c>
      <c r="S414" s="842">
        <v>16878</v>
      </c>
      <c r="T414" s="25">
        <f t="shared" si="148"/>
        <v>253170</v>
      </c>
      <c r="U414" s="452"/>
      <c r="V414" s="812"/>
      <c r="W414" s="842"/>
      <c r="X414" s="842"/>
      <c r="Y414" s="25"/>
    </row>
    <row r="415" spans="1:25">
      <c r="A415" s="796">
        <f t="shared" si="142"/>
        <v>38</v>
      </c>
      <c r="B415" s="297" t="s">
        <v>1070</v>
      </c>
      <c r="C415" s="25">
        <f t="shared" si="145"/>
        <v>375500</v>
      </c>
      <c r="D415" s="797">
        <f t="shared" si="151"/>
        <v>79078.882900538956</v>
      </c>
      <c r="E415" s="797">
        <f t="shared" si="151"/>
        <v>23879.960803527683</v>
      </c>
      <c r="F415" s="797">
        <f t="shared" si="151"/>
        <v>45507.10436060754</v>
      </c>
      <c r="G415" s="797">
        <f t="shared" si="151"/>
        <v>35766.780989710925</v>
      </c>
      <c r="H415" s="797">
        <f t="shared" si="151"/>
        <v>0</v>
      </c>
      <c r="I415" s="25">
        <f t="shared" si="146"/>
        <v>559732.7290543851</v>
      </c>
      <c r="J415" s="797">
        <v>92</v>
      </c>
      <c r="K415" s="797">
        <f t="shared" si="147"/>
        <v>6084.0514027650552</v>
      </c>
      <c r="L415" s="698"/>
      <c r="M415" s="698"/>
      <c r="N415" s="192" t="s">
        <v>1414</v>
      </c>
      <c r="O415" s="810">
        <f t="shared" si="137"/>
        <v>41119</v>
      </c>
      <c r="P415" s="810">
        <v>41122</v>
      </c>
      <c r="Q415" s="811" t="s">
        <v>1045</v>
      </c>
      <c r="R415" s="304">
        <v>50</v>
      </c>
      <c r="S415" s="842">
        <v>7510</v>
      </c>
      <c r="T415" s="25">
        <f t="shared" si="148"/>
        <v>375500</v>
      </c>
      <c r="U415" s="452"/>
      <c r="V415" s="812"/>
      <c r="W415" s="842"/>
      <c r="X415" s="842"/>
      <c r="Y415" s="25"/>
    </row>
    <row r="416" spans="1:25">
      <c r="A416" s="796">
        <f t="shared" si="142"/>
        <v>39</v>
      </c>
      <c r="B416" s="297" t="s">
        <v>1155</v>
      </c>
      <c r="C416" s="25">
        <f t="shared" si="145"/>
        <v>14732000</v>
      </c>
      <c r="D416" s="797">
        <f t="shared" si="151"/>
        <v>859553.07500585821</v>
      </c>
      <c r="E416" s="797">
        <f t="shared" si="151"/>
        <v>259564.79134269222</v>
      </c>
      <c r="F416" s="797">
        <f t="shared" si="151"/>
        <v>494642.43870225589</v>
      </c>
      <c r="G416" s="797">
        <f t="shared" si="151"/>
        <v>388769.35858381446</v>
      </c>
      <c r="H416" s="797">
        <f t="shared" si="151"/>
        <v>0</v>
      </c>
      <c r="I416" s="25">
        <f t="shared" si="146"/>
        <v>16734529.663634621</v>
      </c>
      <c r="J416" s="797">
        <v>1000</v>
      </c>
      <c r="K416" s="797">
        <f t="shared" si="147"/>
        <v>16734.529663634621</v>
      </c>
      <c r="L416" s="698"/>
      <c r="M416" s="698"/>
      <c r="N416" s="40" t="s">
        <v>1454</v>
      </c>
      <c r="O416" s="810">
        <f t="shared" si="137"/>
        <v>41121</v>
      </c>
      <c r="P416" s="810">
        <v>41124</v>
      </c>
      <c r="Q416" s="811" t="s">
        <v>1046</v>
      </c>
      <c r="R416" s="304">
        <v>1000</v>
      </c>
      <c r="S416" s="842">
        <v>14732</v>
      </c>
      <c r="T416" s="25">
        <f t="shared" si="148"/>
        <v>14732000</v>
      </c>
      <c r="U416" s="452"/>
      <c r="V416" s="812"/>
      <c r="W416" s="842"/>
      <c r="X416" s="842"/>
      <c r="Y416" s="25"/>
    </row>
    <row r="417" spans="1:25">
      <c r="A417" s="796">
        <f t="shared" si="142"/>
        <v>40</v>
      </c>
      <c r="B417" s="297" t="s">
        <v>1155</v>
      </c>
      <c r="C417" s="25">
        <f t="shared" si="145"/>
        <v>7040880</v>
      </c>
      <c r="D417" s="797">
        <f t="shared" si="151"/>
        <v>446967.59900304629</v>
      </c>
      <c r="E417" s="797">
        <f t="shared" si="151"/>
        <v>134973.69149819994</v>
      </c>
      <c r="F417" s="797">
        <f t="shared" si="151"/>
        <v>257214.06812517307</v>
      </c>
      <c r="G417" s="797">
        <f t="shared" si="151"/>
        <v>202160.0664635835</v>
      </c>
      <c r="H417" s="797">
        <f t="shared" si="151"/>
        <v>0</v>
      </c>
      <c r="I417" s="25">
        <f t="shared" si="146"/>
        <v>8082195.4250900028</v>
      </c>
      <c r="J417" s="797">
        <v>520</v>
      </c>
      <c r="K417" s="797">
        <f t="shared" si="147"/>
        <v>15542.683509788467</v>
      </c>
      <c r="L417" s="698"/>
      <c r="M417" s="698"/>
      <c r="N417" s="192" t="s">
        <v>1386</v>
      </c>
      <c r="O417" s="810">
        <f t="shared" si="137"/>
        <v>41122</v>
      </c>
      <c r="P417" s="810">
        <v>41125</v>
      </c>
      <c r="Q417" s="811" t="s">
        <v>1047</v>
      </c>
      <c r="R417" s="304">
        <v>630</v>
      </c>
      <c r="S417" s="842">
        <v>11176</v>
      </c>
      <c r="T417" s="25">
        <f t="shared" si="148"/>
        <v>7040880</v>
      </c>
      <c r="U417" s="452"/>
      <c r="V417" s="812"/>
      <c r="W417" s="842"/>
      <c r="X417" s="842"/>
      <c r="Y417" s="25"/>
    </row>
    <row r="418" spans="1:25">
      <c r="A418" s="796">
        <f t="shared" si="142"/>
        <v>41</v>
      </c>
      <c r="B418" s="297" t="s">
        <v>1152</v>
      </c>
      <c r="C418" s="25">
        <f t="shared" si="145"/>
        <v>2775155</v>
      </c>
      <c r="D418" s="797">
        <f t="shared" ref="D418:H427" si="152">IF($J$452&lt;&gt;0,D$452/$J$452*$J418,0)</f>
        <v>853536.20348081714</v>
      </c>
      <c r="E418" s="797">
        <f t="shared" si="152"/>
        <v>257747.83780329337</v>
      </c>
      <c r="F418" s="797">
        <f t="shared" si="152"/>
        <v>491179.94163134013</v>
      </c>
      <c r="G418" s="797">
        <f t="shared" si="152"/>
        <v>386047.97307372774</v>
      </c>
      <c r="H418" s="797">
        <f t="shared" si="152"/>
        <v>0</v>
      </c>
      <c r="I418" s="25">
        <f t="shared" si="146"/>
        <v>4763666.9559891783</v>
      </c>
      <c r="J418" s="797">
        <v>993</v>
      </c>
      <c r="K418" s="797">
        <f t="shared" si="147"/>
        <v>4797.2476898179038</v>
      </c>
      <c r="L418" s="698"/>
      <c r="M418" s="698"/>
      <c r="N418" s="189" t="s">
        <v>1373</v>
      </c>
      <c r="O418" s="810">
        <f t="shared" si="137"/>
        <v>41122</v>
      </c>
      <c r="P418" s="810">
        <v>41125</v>
      </c>
      <c r="Q418" s="811" t="s">
        <v>1048</v>
      </c>
      <c r="R418" s="304">
        <v>145</v>
      </c>
      <c r="S418" s="842">
        <v>19139</v>
      </c>
      <c r="T418" s="25">
        <f t="shared" si="148"/>
        <v>2775155</v>
      </c>
      <c r="U418" s="452"/>
      <c r="V418" s="812"/>
      <c r="W418" s="842"/>
      <c r="X418" s="842"/>
      <c r="Y418" s="25"/>
    </row>
    <row r="419" spans="1:25">
      <c r="A419" s="796">
        <f t="shared" si="142"/>
        <v>42</v>
      </c>
      <c r="B419" s="297" t="s">
        <v>1153</v>
      </c>
      <c r="C419" s="25">
        <f t="shared" si="145"/>
        <v>2937780</v>
      </c>
      <c r="D419" s="797">
        <f t="shared" si="152"/>
        <v>885339.66725603398</v>
      </c>
      <c r="E419" s="797">
        <f t="shared" si="152"/>
        <v>267351.73508297297</v>
      </c>
      <c r="F419" s="797">
        <f t="shared" si="152"/>
        <v>509481.71186332358</v>
      </c>
      <c r="G419" s="797">
        <f t="shared" si="152"/>
        <v>400432.43934132886</v>
      </c>
      <c r="H419" s="797">
        <f t="shared" si="152"/>
        <v>0</v>
      </c>
      <c r="I419" s="25">
        <f t="shared" si="146"/>
        <v>5000385.5535436589</v>
      </c>
      <c r="J419" s="797">
        <v>1030</v>
      </c>
      <c r="K419" s="797">
        <f t="shared" si="147"/>
        <v>4854.7432558676301</v>
      </c>
      <c r="L419" s="698"/>
      <c r="M419" s="698"/>
      <c r="N419" s="192" t="s">
        <v>1400</v>
      </c>
      <c r="O419" s="810">
        <f t="shared" si="137"/>
        <v>41122</v>
      </c>
      <c r="P419" s="810">
        <v>41125</v>
      </c>
      <c r="Q419" s="811" t="s">
        <v>1048</v>
      </c>
      <c r="R419" s="304">
        <v>180</v>
      </c>
      <c r="S419" s="842">
        <v>16321</v>
      </c>
      <c r="T419" s="25">
        <f t="shared" si="148"/>
        <v>2937780</v>
      </c>
      <c r="U419" s="452"/>
      <c r="V419" s="812"/>
      <c r="W419" s="842"/>
      <c r="X419" s="842"/>
      <c r="Y419" s="25"/>
    </row>
    <row r="420" spans="1:25">
      <c r="A420" s="796">
        <f t="shared" si="142"/>
        <v>43</v>
      </c>
      <c r="B420" s="297" t="s">
        <v>1154</v>
      </c>
      <c r="C420" s="25">
        <f t="shared" si="145"/>
        <v>5044410</v>
      </c>
      <c r="D420" s="797">
        <f t="shared" si="152"/>
        <v>868148.6057559168</v>
      </c>
      <c r="E420" s="797">
        <f t="shared" si="152"/>
        <v>262160.43925611913</v>
      </c>
      <c r="F420" s="797">
        <f t="shared" si="152"/>
        <v>499588.86308927846</v>
      </c>
      <c r="G420" s="797">
        <f t="shared" si="152"/>
        <v>392657.0521696526</v>
      </c>
      <c r="H420" s="797">
        <f t="shared" si="152"/>
        <v>0</v>
      </c>
      <c r="I420" s="25">
        <f t="shared" si="146"/>
        <v>7066964.9602709673</v>
      </c>
      <c r="J420" s="797">
        <v>1010</v>
      </c>
      <c r="K420" s="797">
        <f t="shared" si="147"/>
        <v>6996.9950101692748</v>
      </c>
      <c r="L420" s="698"/>
      <c r="M420" s="698"/>
      <c r="N420" s="192" t="s">
        <v>1442</v>
      </c>
      <c r="O420" s="810">
        <f t="shared" si="137"/>
        <v>41122</v>
      </c>
      <c r="P420" s="810">
        <v>41125</v>
      </c>
      <c r="Q420" s="811" t="s">
        <v>1048</v>
      </c>
      <c r="R420" s="304">
        <v>510</v>
      </c>
      <c r="S420" s="842">
        <v>9891</v>
      </c>
      <c r="T420" s="25">
        <f t="shared" si="148"/>
        <v>5044410</v>
      </c>
      <c r="U420" s="452"/>
      <c r="V420" s="812"/>
      <c r="W420" s="842"/>
      <c r="X420" s="842"/>
      <c r="Y420" s="25"/>
    </row>
    <row r="421" spans="1:25">
      <c r="A421" s="796">
        <f t="shared" si="142"/>
        <v>44</v>
      </c>
      <c r="B421" s="297" t="s">
        <v>1138</v>
      </c>
      <c r="C421" s="25">
        <f t="shared" si="145"/>
        <v>4406400</v>
      </c>
      <c r="D421" s="797">
        <f t="shared" si="152"/>
        <v>881041.90188100468</v>
      </c>
      <c r="E421" s="797">
        <f t="shared" si="152"/>
        <v>266053.91112625954</v>
      </c>
      <c r="F421" s="797">
        <f t="shared" si="152"/>
        <v>507008.49966981227</v>
      </c>
      <c r="G421" s="797">
        <f t="shared" si="152"/>
        <v>398488.59254840983</v>
      </c>
      <c r="H421" s="797">
        <f t="shared" si="152"/>
        <v>0</v>
      </c>
      <c r="I421" s="25">
        <f t="shared" si="146"/>
        <v>6458992.9052254865</v>
      </c>
      <c r="J421" s="797">
        <v>1025</v>
      </c>
      <c r="K421" s="797">
        <f t="shared" si="147"/>
        <v>6301.4564929029139</v>
      </c>
      <c r="L421" s="698"/>
      <c r="M421" s="698"/>
      <c r="N421" s="192" t="s">
        <v>1310</v>
      </c>
      <c r="O421" s="810">
        <f t="shared" si="137"/>
        <v>41125</v>
      </c>
      <c r="P421" s="810">
        <v>41128</v>
      </c>
      <c r="Q421" s="811" t="s">
        <v>1049</v>
      </c>
      <c r="R421" s="304">
        <v>225</v>
      </c>
      <c r="S421" s="842">
        <v>19584</v>
      </c>
      <c r="T421" s="25">
        <f t="shared" si="148"/>
        <v>4406400</v>
      </c>
      <c r="U421" s="452"/>
      <c r="V421" s="812"/>
      <c r="W421" s="842"/>
      <c r="X421" s="842"/>
      <c r="Y421" s="25"/>
    </row>
    <row r="422" spans="1:25">
      <c r="A422" s="796">
        <f t="shared" si="142"/>
        <v>45</v>
      </c>
      <c r="B422" s="297" t="s">
        <v>1121</v>
      </c>
      <c r="C422" s="25">
        <f t="shared" si="145"/>
        <v>3215940</v>
      </c>
      <c r="D422" s="797">
        <f t="shared" si="152"/>
        <v>441810.28055301111</v>
      </c>
      <c r="E422" s="797">
        <f t="shared" si="152"/>
        <v>133416.3027501438</v>
      </c>
      <c r="F422" s="797">
        <f t="shared" si="152"/>
        <v>254246.21349295953</v>
      </c>
      <c r="G422" s="797">
        <f t="shared" si="152"/>
        <v>199827.45031208062</v>
      </c>
      <c r="H422" s="797">
        <f t="shared" si="152"/>
        <v>0</v>
      </c>
      <c r="I422" s="25">
        <f t="shared" si="146"/>
        <v>4245240.247108195</v>
      </c>
      <c r="J422" s="797">
        <v>514</v>
      </c>
      <c r="K422" s="797">
        <f t="shared" si="147"/>
        <v>8259.222270638511</v>
      </c>
      <c r="L422" s="698"/>
      <c r="M422" s="698"/>
      <c r="N422" s="192" t="s">
        <v>1448</v>
      </c>
      <c r="O422" s="810">
        <f t="shared" si="137"/>
        <v>41126</v>
      </c>
      <c r="P422" s="810">
        <v>41129</v>
      </c>
      <c r="Q422" s="811" t="s">
        <v>1050</v>
      </c>
      <c r="R422" s="304">
        <v>310</v>
      </c>
      <c r="S422" s="293">
        <v>10374</v>
      </c>
      <c r="T422" s="25">
        <f t="shared" si="148"/>
        <v>3215940</v>
      </c>
      <c r="U422" s="452"/>
      <c r="V422" s="812"/>
      <c r="W422" s="842"/>
      <c r="X422" s="842"/>
      <c r="Y422" s="25"/>
    </row>
    <row r="423" spans="1:25">
      <c r="A423" s="796">
        <f t="shared" si="142"/>
        <v>46</v>
      </c>
      <c r="B423" s="297" t="s">
        <v>1132</v>
      </c>
      <c r="C423" s="25">
        <f t="shared" si="145"/>
        <v>7805200</v>
      </c>
      <c r="D423" s="797">
        <f t="shared" si="152"/>
        <v>682485.14155465143</v>
      </c>
      <c r="E423" s="797">
        <f t="shared" si="152"/>
        <v>206094.44432609761</v>
      </c>
      <c r="F423" s="797">
        <f t="shared" si="152"/>
        <v>392746.09632959118</v>
      </c>
      <c r="G423" s="797">
        <f t="shared" si="152"/>
        <v>308682.87071554869</v>
      </c>
      <c r="H423" s="797">
        <f t="shared" si="152"/>
        <v>0</v>
      </c>
      <c r="I423" s="25">
        <f t="shared" si="146"/>
        <v>9395208.5529258884</v>
      </c>
      <c r="J423" s="797">
        <v>794</v>
      </c>
      <c r="K423" s="797">
        <f t="shared" si="147"/>
        <v>11832.756363886509</v>
      </c>
      <c r="L423" s="698"/>
      <c r="M423" s="698"/>
      <c r="N423" s="192" t="s">
        <v>1268</v>
      </c>
      <c r="O423" s="810">
        <f t="shared" si="137"/>
        <v>41126</v>
      </c>
      <c r="P423" s="810">
        <v>41129</v>
      </c>
      <c r="Q423" s="811" t="s">
        <v>1050</v>
      </c>
      <c r="R423" s="304">
        <v>400</v>
      </c>
      <c r="S423" s="842">
        <v>19513</v>
      </c>
      <c r="T423" s="25">
        <f t="shared" si="148"/>
        <v>7805200</v>
      </c>
      <c r="U423" s="452"/>
      <c r="V423" s="812"/>
      <c r="W423" s="842"/>
      <c r="X423" s="842"/>
      <c r="Y423" s="25"/>
    </row>
    <row r="424" spans="1:25">
      <c r="A424" s="796">
        <f t="shared" si="142"/>
        <v>47</v>
      </c>
      <c r="B424" s="297" t="s">
        <v>1151</v>
      </c>
      <c r="C424" s="25">
        <f t="shared" si="145"/>
        <v>2584764</v>
      </c>
      <c r="D424" s="797">
        <f t="shared" si="152"/>
        <v>790788.82900538959</v>
      </c>
      <c r="E424" s="797">
        <f t="shared" si="152"/>
        <v>238799.60803527685</v>
      </c>
      <c r="F424" s="797">
        <f t="shared" si="152"/>
        <v>455071.04360607546</v>
      </c>
      <c r="G424" s="797">
        <f t="shared" si="152"/>
        <v>357667.80989710928</v>
      </c>
      <c r="H424" s="797">
        <f t="shared" si="152"/>
        <v>0</v>
      </c>
      <c r="I424" s="25">
        <f t="shared" si="146"/>
        <v>4427091.2905438505</v>
      </c>
      <c r="J424" s="797">
        <v>920</v>
      </c>
      <c r="K424" s="797">
        <f t="shared" si="147"/>
        <v>4812.055750591142</v>
      </c>
      <c r="L424" s="698"/>
      <c r="M424" s="698"/>
      <c r="N424" s="192" t="s">
        <v>1401</v>
      </c>
      <c r="O424" s="810">
        <f t="shared" si="137"/>
        <v>41126</v>
      </c>
      <c r="P424" s="810">
        <v>41129</v>
      </c>
      <c r="Q424" s="811" t="s">
        <v>673</v>
      </c>
      <c r="R424" s="304">
        <v>263</v>
      </c>
      <c r="S424" s="842">
        <v>9828</v>
      </c>
      <c r="T424" s="25">
        <f t="shared" si="148"/>
        <v>2584764</v>
      </c>
      <c r="U424" s="452"/>
      <c r="V424" s="812"/>
      <c r="W424" s="842"/>
      <c r="X424" s="842"/>
      <c r="Y424" s="25"/>
    </row>
    <row r="425" spans="1:25">
      <c r="A425" s="796">
        <f t="shared" si="142"/>
        <v>48</v>
      </c>
      <c r="B425" s="297" t="s">
        <v>1157</v>
      </c>
      <c r="C425" s="25">
        <f t="shared" si="145"/>
        <v>7805350</v>
      </c>
      <c r="D425" s="797">
        <f t="shared" si="152"/>
        <v>880182.3488059988</v>
      </c>
      <c r="E425" s="797">
        <f t="shared" si="152"/>
        <v>265794.34633491683</v>
      </c>
      <c r="F425" s="797">
        <f t="shared" si="152"/>
        <v>506513.85723111004</v>
      </c>
      <c r="G425" s="797">
        <f t="shared" si="152"/>
        <v>398099.82318982598</v>
      </c>
      <c r="H425" s="797">
        <f t="shared" si="152"/>
        <v>0</v>
      </c>
      <c r="I425" s="25">
        <f t="shared" si="146"/>
        <v>9855940.3755618539</v>
      </c>
      <c r="J425" s="797">
        <v>1024</v>
      </c>
      <c r="K425" s="797">
        <f t="shared" si="147"/>
        <v>9624.9417730096229</v>
      </c>
      <c r="L425" s="698"/>
      <c r="M425" s="698"/>
      <c r="N425" s="192" t="s">
        <v>1309</v>
      </c>
      <c r="O425" s="810">
        <f t="shared" si="137"/>
        <v>41133</v>
      </c>
      <c r="P425" s="810">
        <v>41136</v>
      </c>
      <c r="Q425" s="811" t="s">
        <v>1051</v>
      </c>
      <c r="R425" s="304">
        <v>350</v>
      </c>
      <c r="S425" s="842">
        <v>22301</v>
      </c>
      <c r="T425" s="25">
        <f t="shared" si="148"/>
        <v>7805350</v>
      </c>
      <c r="U425" s="452"/>
      <c r="V425" s="812"/>
      <c r="W425" s="842"/>
      <c r="X425" s="842"/>
      <c r="Y425" s="25"/>
    </row>
    <row r="426" spans="1:25">
      <c r="A426" s="796">
        <f t="shared" si="142"/>
        <v>49</v>
      </c>
      <c r="B426" s="297" t="s">
        <v>1145</v>
      </c>
      <c r="C426" s="25">
        <f t="shared" si="145"/>
        <v>3920000</v>
      </c>
      <c r="D426" s="797">
        <f t="shared" si="152"/>
        <v>435793.4090279701</v>
      </c>
      <c r="E426" s="797">
        <f t="shared" si="152"/>
        <v>131599.34921074496</v>
      </c>
      <c r="F426" s="797">
        <f t="shared" si="152"/>
        <v>250783.71642204374</v>
      </c>
      <c r="G426" s="797">
        <f t="shared" si="152"/>
        <v>197106.06480199393</v>
      </c>
      <c r="H426" s="797">
        <f t="shared" si="152"/>
        <v>0</v>
      </c>
      <c r="I426" s="25">
        <f t="shared" si="146"/>
        <v>4935282.5394627526</v>
      </c>
      <c r="J426" s="797">
        <v>507</v>
      </c>
      <c r="K426" s="797">
        <f t="shared" si="147"/>
        <v>9734.2850876977373</v>
      </c>
      <c r="L426" s="698"/>
      <c r="M426" s="698"/>
      <c r="N426" s="192" t="s">
        <v>1306</v>
      </c>
      <c r="O426" s="810">
        <f t="shared" si="137"/>
        <v>41134</v>
      </c>
      <c r="P426" s="810">
        <v>41137</v>
      </c>
      <c r="Q426" s="811" t="s">
        <v>1052</v>
      </c>
      <c r="R426" s="304">
        <v>250</v>
      </c>
      <c r="S426" s="842">
        <v>15680</v>
      </c>
      <c r="T426" s="25">
        <f t="shared" si="148"/>
        <v>3920000</v>
      </c>
      <c r="U426" s="452"/>
      <c r="V426" s="812"/>
      <c r="W426" s="842"/>
      <c r="X426" s="842"/>
      <c r="Y426" s="25"/>
    </row>
    <row r="427" spans="1:25">
      <c r="A427" s="796">
        <f t="shared" si="142"/>
        <v>50</v>
      </c>
      <c r="B427" s="297" t="s">
        <v>1150</v>
      </c>
      <c r="C427" s="25">
        <f t="shared" si="145"/>
        <v>704375</v>
      </c>
      <c r="D427" s="797">
        <f t="shared" si="152"/>
        <v>174489.27422618921</v>
      </c>
      <c r="E427" s="797">
        <f t="shared" si="152"/>
        <v>52691.652642566522</v>
      </c>
      <c r="F427" s="797">
        <f t="shared" si="152"/>
        <v>100412.41505655795</v>
      </c>
      <c r="G427" s="797">
        <f t="shared" si="152"/>
        <v>78920.179792514333</v>
      </c>
      <c r="H427" s="797">
        <f t="shared" si="152"/>
        <v>0</v>
      </c>
      <c r="I427" s="25">
        <f t="shared" si="146"/>
        <v>1110888.521717828</v>
      </c>
      <c r="J427" s="797">
        <v>203</v>
      </c>
      <c r="K427" s="797">
        <f t="shared" si="147"/>
        <v>5472.3572498415169</v>
      </c>
      <c r="L427" s="698"/>
      <c r="M427" s="698"/>
      <c r="N427" s="192" t="s">
        <v>1267</v>
      </c>
      <c r="O427" s="810">
        <f t="shared" si="137"/>
        <v>41134</v>
      </c>
      <c r="P427" s="810">
        <v>41137</v>
      </c>
      <c r="Q427" s="811" t="s">
        <v>1052</v>
      </c>
      <c r="R427" s="304">
        <v>49</v>
      </c>
      <c r="S427" s="842">
        <v>14375</v>
      </c>
      <c r="T427" s="25">
        <f t="shared" si="148"/>
        <v>704375</v>
      </c>
      <c r="U427" s="452"/>
      <c r="V427" s="812"/>
      <c r="W427" s="842"/>
      <c r="X427" s="842"/>
      <c r="Y427" s="25"/>
    </row>
    <row r="428" spans="1:25">
      <c r="A428" s="796">
        <f t="shared" si="142"/>
        <v>51</v>
      </c>
      <c r="B428" s="297" t="s">
        <v>1053</v>
      </c>
      <c r="C428" s="25">
        <f t="shared" si="145"/>
        <v>12440350</v>
      </c>
      <c r="D428" s="797">
        <f t="shared" ref="D428:H437" si="153">IF($J$452&lt;&gt;0,D$452/$J$452*$J428,0)</f>
        <v>3354835.6517478647</v>
      </c>
      <c r="E428" s="797">
        <f t="shared" si="153"/>
        <v>1013081.3806105277</v>
      </c>
      <c r="F428" s="797">
        <f t="shared" si="153"/>
        <v>1930589.4382549047</v>
      </c>
      <c r="G428" s="797">
        <f t="shared" si="153"/>
        <v>1517366.8065526278</v>
      </c>
      <c r="H428" s="797">
        <f t="shared" si="153"/>
        <v>0</v>
      </c>
      <c r="I428" s="25">
        <f t="shared" si="146"/>
        <v>20256223.277165923</v>
      </c>
      <c r="J428" s="797">
        <v>3903</v>
      </c>
      <c r="K428" s="797">
        <f t="shared" si="147"/>
        <v>5189.9111650437926</v>
      </c>
      <c r="L428" s="698"/>
      <c r="M428" s="698"/>
      <c r="N428" s="189" t="s">
        <v>1373</v>
      </c>
      <c r="O428" s="810">
        <f t="shared" si="137"/>
        <v>41134</v>
      </c>
      <c r="P428" s="810">
        <v>41137</v>
      </c>
      <c r="Q428" s="811" t="s">
        <v>1054</v>
      </c>
      <c r="R428" s="304">
        <v>650</v>
      </c>
      <c r="S428" s="842">
        <v>19139</v>
      </c>
      <c r="T428" s="25">
        <f t="shared" si="148"/>
        <v>12440350</v>
      </c>
      <c r="U428" s="452"/>
      <c r="V428" s="812"/>
      <c r="W428" s="842"/>
      <c r="X428" s="842"/>
      <c r="Y428" s="25"/>
    </row>
    <row r="429" spans="1:25">
      <c r="A429" s="796">
        <f t="shared" si="142"/>
        <v>52</v>
      </c>
      <c r="B429" s="297" t="s">
        <v>1055</v>
      </c>
      <c r="C429" s="25">
        <f t="shared" si="145"/>
        <v>11805990</v>
      </c>
      <c r="D429" s="797">
        <f t="shared" si="153"/>
        <v>2587254.7557676332</v>
      </c>
      <c r="E429" s="797">
        <f t="shared" si="153"/>
        <v>781290.02194150363</v>
      </c>
      <c r="F429" s="797">
        <f t="shared" si="153"/>
        <v>1488873.7404937902</v>
      </c>
      <c r="G429" s="797">
        <f t="shared" si="153"/>
        <v>1170195.7693372814</v>
      </c>
      <c r="H429" s="797">
        <f t="shared" si="153"/>
        <v>0</v>
      </c>
      <c r="I429" s="25">
        <f t="shared" si="146"/>
        <v>17833604.287540209</v>
      </c>
      <c r="J429" s="797">
        <v>3010</v>
      </c>
      <c r="K429" s="797">
        <f t="shared" si="147"/>
        <v>5924.7854775881087</v>
      </c>
      <c r="L429" s="698"/>
      <c r="M429" s="698"/>
      <c r="N429" s="192" t="s">
        <v>1289</v>
      </c>
      <c r="O429" s="810">
        <f t="shared" si="137"/>
        <v>41134</v>
      </c>
      <c r="P429" s="810">
        <v>41137</v>
      </c>
      <c r="Q429" s="811" t="s">
        <v>1054</v>
      </c>
      <c r="R429" s="8">
        <v>510</v>
      </c>
      <c r="S429" s="293">
        <v>23149</v>
      </c>
      <c r="T429" s="25">
        <f t="shared" si="148"/>
        <v>11805990</v>
      </c>
      <c r="U429" s="452"/>
      <c r="V429" s="812"/>
      <c r="W429" s="842"/>
      <c r="X429" s="842"/>
      <c r="Y429" s="25"/>
    </row>
    <row r="430" spans="1:25">
      <c r="A430" s="796">
        <f t="shared" si="142"/>
        <v>53</v>
      </c>
      <c r="B430" s="297" t="s">
        <v>1056</v>
      </c>
      <c r="C430" s="25">
        <f t="shared" si="145"/>
        <v>1183116</v>
      </c>
      <c r="D430" s="797">
        <f t="shared" si="153"/>
        <v>266461.45325181604</v>
      </c>
      <c r="E430" s="797">
        <f t="shared" si="153"/>
        <v>80465.085316234588</v>
      </c>
      <c r="F430" s="797">
        <f t="shared" si="153"/>
        <v>153339.15599769933</v>
      </c>
      <c r="G430" s="797">
        <f t="shared" si="153"/>
        <v>120518.50116098247</v>
      </c>
      <c r="H430" s="797">
        <f t="shared" si="153"/>
        <v>0</v>
      </c>
      <c r="I430" s="25">
        <f t="shared" si="146"/>
        <v>1803900.1957267325</v>
      </c>
      <c r="J430" s="797">
        <v>310</v>
      </c>
      <c r="K430" s="797">
        <f t="shared" si="147"/>
        <v>5819.0328894410723</v>
      </c>
      <c r="L430" s="698"/>
      <c r="M430" s="698"/>
      <c r="N430" s="192" t="s">
        <v>1275</v>
      </c>
      <c r="O430" s="810">
        <f t="shared" si="137"/>
        <v>41134</v>
      </c>
      <c r="P430" s="810">
        <v>41137</v>
      </c>
      <c r="Q430" s="811" t="s">
        <v>1054</v>
      </c>
      <c r="R430" s="304">
        <v>66</v>
      </c>
      <c r="S430" s="842">
        <v>17926</v>
      </c>
      <c r="T430" s="25">
        <f t="shared" si="148"/>
        <v>1183116</v>
      </c>
      <c r="U430" s="452"/>
      <c r="V430" s="812"/>
      <c r="W430" s="842"/>
      <c r="X430" s="842"/>
      <c r="Y430" s="25"/>
    </row>
    <row r="431" spans="1:25">
      <c r="A431" s="796">
        <f t="shared" si="142"/>
        <v>54</v>
      </c>
      <c r="B431" s="297" t="s">
        <v>1057</v>
      </c>
      <c r="C431" s="25">
        <f t="shared" ref="C431:C450" si="154">T431</f>
        <v>865300</v>
      </c>
      <c r="D431" s="797">
        <f t="shared" si="153"/>
        <v>216607.37490147626</v>
      </c>
      <c r="E431" s="797">
        <f t="shared" si="153"/>
        <v>65410.327418358436</v>
      </c>
      <c r="F431" s="797">
        <f t="shared" si="153"/>
        <v>124649.89455296849</v>
      </c>
      <c r="G431" s="797">
        <f t="shared" si="153"/>
        <v>97969.878363121243</v>
      </c>
      <c r="H431" s="797">
        <f t="shared" si="153"/>
        <v>0</v>
      </c>
      <c r="I431" s="25">
        <f t="shared" ref="I431:I450" si="155">SUM(C431:H431)</f>
        <v>1369937.4752359246</v>
      </c>
      <c r="J431" s="797">
        <v>252</v>
      </c>
      <c r="K431" s="797">
        <f t="shared" ref="K431:K450" si="156">IF(J431&lt;&gt;"",I431/J431,"")</f>
        <v>5436.2598223647801</v>
      </c>
      <c r="L431" s="698"/>
      <c r="M431" s="698"/>
      <c r="N431" s="192" t="s">
        <v>1265</v>
      </c>
      <c r="O431" s="810">
        <f t="shared" si="137"/>
        <v>41134</v>
      </c>
      <c r="P431" s="810">
        <v>41137</v>
      </c>
      <c r="Q431" s="811" t="s">
        <v>1054</v>
      </c>
      <c r="R431" s="304">
        <v>50</v>
      </c>
      <c r="S431" s="842">
        <v>17306</v>
      </c>
      <c r="T431" s="25">
        <f t="shared" ref="T431:T450" si="157">ROUND(R431*S431,0)</f>
        <v>865300</v>
      </c>
      <c r="U431" s="452"/>
      <c r="V431" s="812"/>
      <c r="W431" s="842"/>
      <c r="X431" s="842"/>
      <c r="Y431" s="25"/>
    </row>
    <row r="432" spans="1:25">
      <c r="A432" s="796">
        <f t="shared" si="142"/>
        <v>55</v>
      </c>
      <c r="B432" s="297" t="s">
        <v>1114</v>
      </c>
      <c r="C432" s="25">
        <f t="shared" si="154"/>
        <v>35186480</v>
      </c>
      <c r="D432" s="797">
        <f t="shared" si="153"/>
        <v>2630232.4095179262</v>
      </c>
      <c r="E432" s="797">
        <f t="shared" si="153"/>
        <v>794268.26150863816</v>
      </c>
      <c r="F432" s="797">
        <f t="shared" si="153"/>
        <v>1513605.8624289031</v>
      </c>
      <c r="G432" s="797">
        <f t="shared" si="153"/>
        <v>1189634.2372664721</v>
      </c>
      <c r="H432" s="797">
        <f t="shared" si="153"/>
        <v>0</v>
      </c>
      <c r="I432" s="25">
        <f t="shared" si="155"/>
        <v>41314220.770721942</v>
      </c>
      <c r="J432" s="797">
        <v>3060</v>
      </c>
      <c r="K432" s="797">
        <f t="shared" si="156"/>
        <v>13501.379336837235</v>
      </c>
      <c r="L432" s="698"/>
      <c r="M432" s="698"/>
      <c r="N432" s="192" t="s">
        <v>1289</v>
      </c>
      <c r="O432" s="810">
        <f t="shared" si="137"/>
        <v>41147</v>
      </c>
      <c r="P432" s="810">
        <v>41150</v>
      </c>
      <c r="Q432" s="811" t="s">
        <v>1058</v>
      </c>
      <c r="R432" s="304">
        <v>1520</v>
      </c>
      <c r="S432" s="842">
        <v>23149</v>
      </c>
      <c r="T432" s="25">
        <f t="shared" si="157"/>
        <v>35186480</v>
      </c>
      <c r="U432" s="452"/>
      <c r="V432" s="812"/>
      <c r="W432" s="842"/>
      <c r="X432" s="842"/>
      <c r="Y432" s="25"/>
    </row>
    <row r="433" spans="1:25">
      <c r="A433" s="796">
        <f t="shared" si="142"/>
        <v>56</v>
      </c>
      <c r="B433" s="297" t="s">
        <v>1149</v>
      </c>
      <c r="C433" s="25">
        <f t="shared" si="154"/>
        <v>4043020</v>
      </c>
      <c r="D433" s="797">
        <f t="shared" si="153"/>
        <v>260444.58172677504</v>
      </c>
      <c r="E433" s="797">
        <f t="shared" si="153"/>
        <v>78648.13177683574</v>
      </c>
      <c r="F433" s="797">
        <f t="shared" si="153"/>
        <v>149876.65892678354</v>
      </c>
      <c r="G433" s="797">
        <f t="shared" si="153"/>
        <v>117797.11565089578</v>
      </c>
      <c r="H433" s="797">
        <f t="shared" si="153"/>
        <v>0</v>
      </c>
      <c r="I433" s="25">
        <f t="shared" si="155"/>
        <v>4649786.4880812895</v>
      </c>
      <c r="J433" s="797">
        <v>303</v>
      </c>
      <c r="K433" s="797">
        <f t="shared" si="156"/>
        <v>15345.829993667621</v>
      </c>
      <c r="L433" s="698"/>
      <c r="M433" s="698"/>
      <c r="N433" s="192" t="s">
        <v>1443</v>
      </c>
      <c r="O433" s="810">
        <f t="shared" si="137"/>
        <v>41147</v>
      </c>
      <c r="P433" s="810">
        <v>41150</v>
      </c>
      <c r="Q433" s="811" t="s">
        <v>431</v>
      </c>
      <c r="R433" s="304">
        <v>310</v>
      </c>
      <c r="S433" s="842">
        <v>13042</v>
      </c>
      <c r="T433" s="25">
        <f t="shared" si="157"/>
        <v>4043020</v>
      </c>
      <c r="U433" s="452"/>
      <c r="V433" s="812"/>
      <c r="W433" s="842"/>
      <c r="X433" s="842"/>
      <c r="Y433" s="25"/>
    </row>
    <row r="434" spans="1:25">
      <c r="A434" s="796">
        <f t="shared" si="142"/>
        <v>57</v>
      </c>
      <c r="B434" s="297" t="s">
        <v>1148</v>
      </c>
      <c r="C434" s="25">
        <f t="shared" si="154"/>
        <v>3723200</v>
      </c>
      <c r="D434" s="797">
        <f t="shared" si="153"/>
        <v>260444.58172677504</v>
      </c>
      <c r="E434" s="797">
        <f t="shared" si="153"/>
        <v>78648.13177683574</v>
      </c>
      <c r="F434" s="797">
        <f t="shared" si="153"/>
        <v>149876.65892678354</v>
      </c>
      <c r="G434" s="797">
        <f t="shared" si="153"/>
        <v>117797.11565089578</v>
      </c>
      <c r="H434" s="797">
        <f t="shared" si="153"/>
        <v>0</v>
      </c>
      <c r="I434" s="25">
        <f t="shared" si="155"/>
        <v>4329966.4880812904</v>
      </c>
      <c r="J434" s="797">
        <v>303</v>
      </c>
      <c r="K434" s="797">
        <f t="shared" si="156"/>
        <v>14290.318442512509</v>
      </c>
      <c r="L434" s="698"/>
      <c r="M434" s="698"/>
      <c r="N434" s="192" t="s">
        <v>1263</v>
      </c>
      <c r="O434" s="810">
        <f t="shared" si="137"/>
        <v>41147</v>
      </c>
      <c r="P434" s="810">
        <v>41150</v>
      </c>
      <c r="Q434" s="811" t="s">
        <v>431</v>
      </c>
      <c r="R434" s="304">
        <v>320</v>
      </c>
      <c r="S434" s="842">
        <v>11635</v>
      </c>
      <c r="T434" s="25">
        <f t="shared" si="157"/>
        <v>3723200</v>
      </c>
      <c r="U434" s="452"/>
      <c r="V434" s="812"/>
      <c r="W434" s="842"/>
      <c r="X434" s="842"/>
      <c r="Y434" s="25"/>
    </row>
    <row r="435" spans="1:25">
      <c r="A435" s="796">
        <f t="shared" si="142"/>
        <v>58</v>
      </c>
      <c r="B435" s="297" t="s">
        <v>1125</v>
      </c>
      <c r="C435" s="25">
        <f t="shared" si="154"/>
        <v>5453435</v>
      </c>
      <c r="D435" s="797">
        <f t="shared" si="153"/>
        <v>911126.25950620975</v>
      </c>
      <c r="E435" s="797">
        <f t="shared" si="153"/>
        <v>275138.67882325372</v>
      </c>
      <c r="F435" s="797">
        <f t="shared" si="153"/>
        <v>524320.98502439121</v>
      </c>
      <c r="G435" s="797">
        <f t="shared" si="153"/>
        <v>412095.52009884332</v>
      </c>
      <c r="H435" s="797">
        <f t="shared" si="153"/>
        <v>0</v>
      </c>
      <c r="I435" s="25">
        <f t="shared" si="155"/>
        <v>7576116.4434526982</v>
      </c>
      <c r="J435" s="797">
        <v>1060</v>
      </c>
      <c r="K435" s="797">
        <f t="shared" si="156"/>
        <v>7147.2796636346211</v>
      </c>
      <c r="L435" s="698"/>
      <c r="M435" s="698"/>
      <c r="N435" s="192" t="s">
        <v>1332</v>
      </c>
      <c r="O435" s="810">
        <f t="shared" si="137"/>
        <v>41150</v>
      </c>
      <c r="P435" s="810">
        <v>41153</v>
      </c>
      <c r="Q435" s="811" t="s">
        <v>1059</v>
      </c>
      <c r="R435" s="304">
        <f>J435/4</f>
        <v>265</v>
      </c>
      <c r="S435" s="842">
        <v>20579</v>
      </c>
      <c r="T435" s="25">
        <f t="shared" si="157"/>
        <v>5453435</v>
      </c>
      <c r="U435" s="452"/>
      <c r="V435" s="812"/>
      <c r="W435" s="842"/>
      <c r="X435" s="842"/>
      <c r="Y435" s="25"/>
    </row>
    <row r="436" spans="1:25">
      <c r="A436" s="796">
        <f t="shared" si="142"/>
        <v>59</v>
      </c>
      <c r="B436" s="297" t="s">
        <v>1121</v>
      </c>
      <c r="C436" s="25">
        <f t="shared" si="154"/>
        <v>5684280</v>
      </c>
      <c r="D436" s="797">
        <f t="shared" si="153"/>
        <v>876744.13650597539</v>
      </c>
      <c r="E436" s="797">
        <f t="shared" si="153"/>
        <v>264756.08716954605</v>
      </c>
      <c r="F436" s="797">
        <f t="shared" si="153"/>
        <v>504535.28747630102</v>
      </c>
      <c r="G436" s="797">
        <f t="shared" si="153"/>
        <v>396544.74575549073</v>
      </c>
      <c r="H436" s="797">
        <f t="shared" si="153"/>
        <v>0</v>
      </c>
      <c r="I436" s="25">
        <f t="shared" si="155"/>
        <v>7726860.2569073131</v>
      </c>
      <c r="J436" s="797">
        <v>1020</v>
      </c>
      <c r="K436" s="797">
        <f t="shared" si="156"/>
        <v>7575.3531930463851</v>
      </c>
      <c r="L436" s="698"/>
      <c r="M436" s="698"/>
      <c r="N436" s="192" t="s">
        <v>1324</v>
      </c>
      <c r="O436" s="810">
        <f t="shared" si="137"/>
        <v>41155</v>
      </c>
      <c r="P436" s="810">
        <v>41158</v>
      </c>
      <c r="Q436" s="811" t="s">
        <v>1060</v>
      </c>
      <c r="R436" s="304">
        <v>268</v>
      </c>
      <c r="S436" s="842">
        <v>21210</v>
      </c>
      <c r="T436" s="25">
        <f t="shared" si="157"/>
        <v>5684280</v>
      </c>
      <c r="U436" s="452"/>
      <c r="V436" s="812"/>
      <c r="W436" s="842"/>
      <c r="X436" s="842"/>
      <c r="Y436" s="25"/>
    </row>
    <row r="437" spans="1:25">
      <c r="A437" s="796">
        <f t="shared" si="142"/>
        <v>60</v>
      </c>
      <c r="B437" s="297" t="s">
        <v>1147</v>
      </c>
      <c r="C437" s="25">
        <f t="shared" si="154"/>
        <v>3773952</v>
      </c>
      <c r="D437" s="797">
        <f t="shared" si="153"/>
        <v>92831.732100632682</v>
      </c>
      <c r="E437" s="797">
        <f t="shared" si="153"/>
        <v>28032.997465010758</v>
      </c>
      <c r="F437" s="797">
        <f t="shared" si="153"/>
        <v>53421.383379843639</v>
      </c>
      <c r="G437" s="797">
        <f t="shared" si="153"/>
        <v>41987.09072705196</v>
      </c>
      <c r="H437" s="797">
        <f t="shared" si="153"/>
        <v>0</v>
      </c>
      <c r="I437" s="25">
        <f t="shared" si="155"/>
        <v>3990225.203672539</v>
      </c>
      <c r="J437" s="797">
        <v>108</v>
      </c>
      <c r="K437" s="797">
        <f t="shared" si="156"/>
        <v>36946.529663634617</v>
      </c>
      <c r="L437" s="698"/>
      <c r="M437" s="698"/>
      <c r="N437" s="192" t="s">
        <v>1346</v>
      </c>
      <c r="O437" s="810">
        <f t="shared" si="137"/>
        <v>41159</v>
      </c>
      <c r="P437" s="810">
        <v>41162</v>
      </c>
      <c r="Q437" s="811" t="s">
        <v>1061</v>
      </c>
      <c r="R437" s="304">
        <f>J437</f>
        <v>108</v>
      </c>
      <c r="S437" s="842">
        <v>34944</v>
      </c>
      <c r="T437" s="25">
        <f t="shared" si="157"/>
        <v>3773952</v>
      </c>
      <c r="U437" s="452"/>
      <c r="V437" s="812"/>
      <c r="W437" s="842"/>
      <c r="X437" s="842"/>
      <c r="Y437" s="25"/>
    </row>
    <row r="438" spans="1:25">
      <c r="A438" s="796">
        <f t="shared" si="142"/>
        <v>61</v>
      </c>
      <c r="B438" s="297" t="s">
        <v>1146</v>
      </c>
      <c r="C438" s="25">
        <f t="shared" si="154"/>
        <v>1900080</v>
      </c>
      <c r="D438" s="797">
        <f t="shared" ref="D438:H450" si="158">IF($J$452&lt;&gt;0,D$452/$J$452*$J438,0)</f>
        <v>54151.843725369064</v>
      </c>
      <c r="E438" s="797">
        <f t="shared" si="158"/>
        <v>16352.581854589609</v>
      </c>
      <c r="F438" s="797">
        <f t="shared" si="158"/>
        <v>31162.473638242122</v>
      </c>
      <c r="G438" s="797">
        <f t="shared" si="158"/>
        <v>24492.469590780311</v>
      </c>
      <c r="H438" s="797">
        <f t="shared" si="158"/>
        <v>0</v>
      </c>
      <c r="I438" s="25">
        <f t="shared" si="155"/>
        <v>2026239.368808981</v>
      </c>
      <c r="J438" s="797">
        <v>63</v>
      </c>
      <c r="K438" s="797">
        <f t="shared" si="156"/>
        <v>32162.529663634621</v>
      </c>
      <c r="L438" s="698"/>
      <c r="M438" s="698"/>
      <c r="N438" s="192" t="s">
        <v>1311</v>
      </c>
      <c r="O438" s="810">
        <f t="shared" si="137"/>
        <v>41159</v>
      </c>
      <c r="P438" s="810">
        <v>41162</v>
      </c>
      <c r="Q438" s="811" t="s">
        <v>1061</v>
      </c>
      <c r="R438" s="304">
        <v>65</v>
      </c>
      <c r="S438" s="842">
        <v>29232</v>
      </c>
      <c r="T438" s="25">
        <f t="shared" si="157"/>
        <v>1900080</v>
      </c>
      <c r="U438" s="452"/>
      <c r="V438" s="812"/>
      <c r="W438" s="842"/>
      <c r="X438" s="842"/>
      <c r="Y438" s="25"/>
    </row>
    <row r="439" spans="1:25">
      <c r="A439" s="796">
        <f t="shared" si="142"/>
        <v>62</v>
      </c>
      <c r="B439" s="297" t="s">
        <v>1128</v>
      </c>
      <c r="C439" s="25">
        <f t="shared" si="154"/>
        <v>6350500</v>
      </c>
      <c r="D439" s="797">
        <f t="shared" si="158"/>
        <v>507136.31425345637</v>
      </c>
      <c r="E439" s="797">
        <f t="shared" si="158"/>
        <v>153143.2268921884</v>
      </c>
      <c r="F439" s="797">
        <f t="shared" si="158"/>
        <v>291839.03883433098</v>
      </c>
      <c r="G439" s="797">
        <f t="shared" si="158"/>
        <v>229373.92156445052</v>
      </c>
      <c r="H439" s="797">
        <f t="shared" si="158"/>
        <v>0</v>
      </c>
      <c r="I439" s="25">
        <f t="shared" si="155"/>
        <v>7531992.5015444253</v>
      </c>
      <c r="J439" s="797">
        <v>590</v>
      </c>
      <c r="K439" s="797">
        <f t="shared" si="156"/>
        <v>12766.088985668517</v>
      </c>
      <c r="L439" s="698"/>
      <c r="M439" s="698"/>
      <c r="N439" s="192" t="s">
        <v>1296</v>
      </c>
      <c r="O439" s="810">
        <f t="shared" si="137"/>
        <v>41159</v>
      </c>
      <c r="P439" s="810">
        <v>41162</v>
      </c>
      <c r="Q439" s="811" t="s">
        <v>432</v>
      </c>
      <c r="R439" s="304">
        <v>350</v>
      </c>
      <c r="S439" s="842">
        <v>18144.285714285714</v>
      </c>
      <c r="T439" s="25">
        <f t="shared" si="157"/>
        <v>6350500</v>
      </c>
      <c r="U439" s="452"/>
      <c r="V439" s="812"/>
      <c r="W439" s="842"/>
      <c r="X439" s="842"/>
      <c r="Y439" s="25"/>
    </row>
    <row r="440" spans="1:25">
      <c r="A440" s="796">
        <f t="shared" si="142"/>
        <v>63</v>
      </c>
      <c r="B440" s="297" t="s">
        <v>1129</v>
      </c>
      <c r="C440" s="25">
        <f t="shared" si="154"/>
        <v>1446300</v>
      </c>
      <c r="D440" s="797">
        <f t="shared" si="158"/>
        <v>171051.06192616577</v>
      </c>
      <c r="E440" s="797">
        <f t="shared" si="158"/>
        <v>51653.39347719575</v>
      </c>
      <c r="F440" s="797">
        <f t="shared" si="158"/>
        <v>98433.845301748923</v>
      </c>
      <c r="G440" s="797">
        <f t="shared" si="158"/>
        <v>77365.10235817908</v>
      </c>
      <c r="H440" s="797">
        <f t="shared" si="158"/>
        <v>0</v>
      </c>
      <c r="I440" s="25">
        <f t="shared" si="155"/>
        <v>1844803.4030632896</v>
      </c>
      <c r="J440" s="797">
        <v>199</v>
      </c>
      <c r="K440" s="797">
        <f t="shared" si="156"/>
        <v>9270.3688596145203</v>
      </c>
      <c r="L440" s="698"/>
      <c r="M440" s="698"/>
      <c r="N440" s="192" t="s">
        <v>1297</v>
      </c>
      <c r="O440" s="810">
        <f t="shared" si="137"/>
        <v>41159</v>
      </c>
      <c r="P440" s="810">
        <v>41162</v>
      </c>
      <c r="Q440" s="811" t="s">
        <v>432</v>
      </c>
      <c r="R440" s="304">
        <v>100</v>
      </c>
      <c r="S440" s="842">
        <v>14463</v>
      </c>
      <c r="T440" s="25">
        <f t="shared" si="157"/>
        <v>1446300</v>
      </c>
      <c r="U440" s="452"/>
      <c r="V440" s="812"/>
      <c r="W440" s="842"/>
      <c r="X440" s="842"/>
      <c r="Y440" s="25"/>
    </row>
    <row r="441" spans="1:25">
      <c r="A441" s="796">
        <f t="shared" si="142"/>
        <v>64</v>
      </c>
      <c r="B441" s="297" t="s">
        <v>1739</v>
      </c>
      <c r="C441" s="25">
        <f t="shared" si="154"/>
        <v>2988600</v>
      </c>
      <c r="D441" s="797">
        <f t="shared" si="158"/>
        <v>260444.58172677504</v>
      </c>
      <c r="E441" s="797">
        <f t="shared" si="158"/>
        <v>78648.13177683574</v>
      </c>
      <c r="F441" s="797">
        <f t="shared" si="158"/>
        <v>149876.65892678354</v>
      </c>
      <c r="G441" s="797">
        <f t="shared" si="158"/>
        <v>117797.11565089578</v>
      </c>
      <c r="H441" s="797">
        <f t="shared" si="158"/>
        <v>0</v>
      </c>
      <c r="I441" s="25">
        <f t="shared" si="155"/>
        <v>3595366.4880812904</v>
      </c>
      <c r="J441" s="797">
        <v>303</v>
      </c>
      <c r="K441" s="797">
        <f t="shared" si="156"/>
        <v>11865.896000268285</v>
      </c>
      <c r="L441" s="698"/>
      <c r="M441" s="698"/>
      <c r="N441" s="192" t="s">
        <v>1312</v>
      </c>
      <c r="O441" s="810">
        <f t="shared" si="137"/>
        <v>41159</v>
      </c>
      <c r="P441" s="810">
        <v>41162</v>
      </c>
      <c r="Q441" s="811" t="s">
        <v>432</v>
      </c>
      <c r="R441" s="304">
        <v>150</v>
      </c>
      <c r="S441" s="842">
        <v>19924</v>
      </c>
      <c r="T441" s="25">
        <f t="shared" si="157"/>
        <v>2988600</v>
      </c>
      <c r="U441" s="452"/>
      <c r="V441" s="812"/>
      <c r="W441" s="842"/>
      <c r="X441" s="842"/>
      <c r="Y441" s="25"/>
    </row>
    <row r="442" spans="1:25">
      <c r="A442" s="796">
        <f t="shared" si="142"/>
        <v>65</v>
      </c>
      <c r="B442" s="297" t="s">
        <v>1062</v>
      </c>
      <c r="C442" s="25">
        <f t="shared" si="154"/>
        <v>418660</v>
      </c>
      <c r="D442" s="797">
        <f t="shared" si="158"/>
        <v>85955.307500585826</v>
      </c>
      <c r="E442" s="797">
        <f t="shared" si="158"/>
        <v>25956.479134269222</v>
      </c>
      <c r="F442" s="797">
        <f t="shared" si="158"/>
        <v>49464.243870225589</v>
      </c>
      <c r="G442" s="797">
        <f t="shared" si="158"/>
        <v>38876.935858381446</v>
      </c>
      <c r="H442" s="797">
        <f t="shared" si="158"/>
        <v>0</v>
      </c>
      <c r="I442" s="25">
        <f t="shared" si="155"/>
        <v>618912.96636346204</v>
      </c>
      <c r="J442" s="797">
        <v>100</v>
      </c>
      <c r="K442" s="797">
        <f t="shared" si="156"/>
        <v>6189.1296636346206</v>
      </c>
      <c r="L442" s="698"/>
      <c r="M442" s="698"/>
      <c r="N442" s="192" t="s">
        <v>1274</v>
      </c>
      <c r="O442" s="810">
        <f t="shared" ref="O442:O450" si="159">P442-3</f>
        <v>41159</v>
      </c>
      <c r="P442" s="810">
        <v>41162</v>
      </c>
      <c r="Q442" s="811" t="s">
        <v>1063</v>
      </c>
      <c r="R442" s="304">
        <v>20</v>
      </c>
      <c r="S442" s="842">
        <v>20933</v>
      </c>
      <c r="T442" s="25">
        <f t="shared" si="157"/>
        <v>418660</v>
      </c>
      <c r="U442" s="452"/>
      <c r="V442" s="812"/>
      <c r="W442" s="842"/>
      <c r="X442" s="842"/>
      <c r="Y442" s="25"/>
    </row>
    <row r="443" spans="1:25">
      <c r="A443" s="796">
        <f t="shared" si="142"/>
        <v>66</v>
      </c>
      <c r="B443" s="297" t="s">
        <v>1229</v>
      </c>
      <c r="C443" s="25">
        <f t="shared" si="154"/>
        <v>630000</v>
      </c>
      <c r="D443" s="797">
        <f t="shared" si="158"/>
        <v>195978.10110133566</v>
      </c>
      <c r="E443" s="797">
        <f t="shared" si="158"/>
        <v>59180.772426133823</v>
      </c>
      <c r="F443" s="797">
        <f t="shared" si="158"/>
        <v>112778.47602411435</v>
      </c>
      <c r="G443" s="797">
        <f t="shared" si="158"/>
        <v>88639.413757109694</v>
      </c>
      <c r="H443" s="797">
        <f t="shared" si="158"/>
        <v>0</v>
      </c>
      <c r="I443" s="25">
        <f t="shared" si="155"/>
        <v>1086576.7633086937</v>
      </c>
      <c r="J443" s="797">
        <v>228</v>
      </c>
      <c r="K443" s="797">
        <f t="shared" si="156"/>
        <v>4765.6875583714636</v>
      </c>
      <c r="L443" s="698"/>
      <c r="M443" s="698"/>
      <c r="N443" s="192" t="s">
        <v>1418</v>
      </c>
      <c r="O443" s="810">
        <f t="shared" si="159"/>
        <v>41159</v>
      </c>
      <c r="P443" s="810">
        <v>41162</v>
      </c>
      <c r="Q443" s="811" t="s">
        <v>1063</v>
      </c>
      <c r="R443" s="304">
        <v>45</v>
      </c>
      <c r="S443" s="842">
        <v>14000</v>
      </c>
      <c r="T443" s="25">
        <f t="shared" si="157"/>
        <v>630000</v>
      </c>
      <c r="U443" s="452"/>
      <c r="V443" s="812"/>
      <c r="W443" s="842"/>
      <c r="X443" s="842"/>
      <c r="Y443" s="25"/>
    </row>
    <row r="444" spans="1:25">
      <c r="A444" s="796">
        <f t="shared" ref="A444:A450" si="160">IF(B444&lt;&gt;"",A443+1,"")</f>
        <v>67</v>
      </c>
      <c r="B444" s="297" t="s">
        <v>1229</v>
      </c>
      <c r="C444" s="25">
        <f t="shared" si="154"/>
        <v>2170000</v>
      </c>
      <c r="D444" s="797">
        <f t="shared" si="158"/>
        <v>694518.88460473344</v>
      </c>
      <c r="E444" s="797">
        <f t="shared" si="158"/>
        <v>209728.35140489531</v>
      </c>
      <c r="F444" s="797">
        <f t="shared" si="158"/>
        <v>399671.09047142277</v>
      </c>
      <c r="G444" s="797">
        <f t="shared" si="158"/>
        <v>314125.64173572208</v>
      </c>
      <c r="H444" s="797">
        <f t="shared" si="158"/>
        <v>0</v>
      </c>
      <c r="I444" s="25">
        <f t="shared" si="155"/>
        <v>3788043.9682167731</v>
      </c>
      <c r="J444" s="797">
        <v>808</v>
      </c>
      <c r="K444" s="797">
        <f t="shared" si="156"/>
        <v>4688.1732279910557</v>
      </c>
      <c r="L444" s="698"/>
      <c r="M444" s="698"/>
      <c r="N444" s="192" t="s">
        <v>1418</v>
      </c>
      <c r="O444" s="810">
        <f t="shared" si="159"/>
        <v>41160</v>
      </c>
      <c r="P444" s="810">
        <v>41163</v>
      </c>
      <c r="Q444" s="811" t="s">
        <v>1064</v>
      </c>
      <c r="R444" s="304">
        <v>155</v>
      </c>
      <c r="S444" s="842">
        <v>14000</v>
      </c>
      <c r="T444" s="25">
        <f t="shared" si="157"/>
        <v>2170000</v>
      </c>
      <c r="U444" s="452"/>
      <c r="V444" s="812"/>
      <c r="W444" s="842"/>
      <c r="X444" s="842"/>
      <c r="Y444" s="25"/>
    </row>
    <row r="445" spans="1:25">
      <c r="A445" s="796">
        <f t="shared" si="160"/>
        <v>68</v>
      </c>
      <c r="B445" s="297" t="s">
        <v>1230</v>
      </c>
      <c r="C445" s="25">
        <f t="shared" si="154"/>
        <v>962918</v>
      </c>
      <c r="D445" s="797">
        <f t="shared" si="158"/>
        <v>179646.59267622436</v>
      </c>
      <c r="E445" s="797">
        <f t="shared" si="158"/>
        <v>54249.041390622675</v>
      </c>
      <c r="F445" s="797">
        <f t="shared" si="158"/>
        <v>103380.26968877148</v>
      </c>
      <c r="G445" s="797">
        <f t="shared" si="158"/>
        <v>81252.795944017213</v>
      </c>
      <c r="H445" s="797">
        <f t="shared" si="158"/>
        <v>0</v>
      </c>
      <c r="I445" s="25">
        <f t="shared" si="155"/>
        <v>1381446.6996996359</v>
      </c>
      <c r="J445" s="797">
        <v>209</v>
      </c>
      <c r="K445" s="797">
        <f t="shared" si="156"/>
        <v>6609.7928215293578</v>
      </c>
      <c r="L445" s="698"/>
      <c r="M445" s="698"/>
      <c r="N445" s="192" t="s">
        <v>1274</v>
      </c>
      <c r="O445" s="810">
        <f t="shared" si="159"/>
        <v>41160</v>
      </c>
      <c r="P445" s="810">
        <v>41163</v>
      </c>
      <c r="Q445" s="811" t="s">
        <v>1064</v>
      </c>
      <c r="R445" s="304">
        <v>46</v>
      </c>
      <c r="S445" s="842">
        <v>20933</v>
      </c>
      <c r="T445" s="25">
        <f t="shared" si="157"/>
        <v>962918</v>
      </c>
      <c r="U445" s="452"/>
      <c r="V445" s="812"/>
      <c r="W445" s="842"/>
      <c r="X445" s="842"/>
      <c r="Y445" s="25"/>
    </row>
    <row r="446" spans="1:25">
      <c r="A446" s="796">
        <f t="shared" si="160"/>
        <v>69</v>
      </c>
      <c r="B446" s="297" t="s">
        <v>1231</v>
      </c>
      <c r="C446" s="25">
        <f t="shared" si="154"/>
        <v>255528</v>
      </c>
      <c r="D446" s="797">
        <f t="shared" si="158"/>
        <v>89393.519800609254</v>
      </c>
      <c r="E446" s="797">
        <f t="shared" si="158"/>
        <v>26994.73829963999</v>
      </c>
      <c r="F446" s="797">
        <f t="shared" si="158"/>
        <v>51442.813625034614</v>
      </c>
      <c r="G446" s="797">
        <f t="shared" si="158"/>
        <v>40432.0132927167</v>
      </c>
      <c r="H446" s="797">
        <f t="shared" si="158"/>
        <v>0</v>
      </c>
      <c r="I446" s="25">
        <f t="shared" si="155"/>
        <v>463791.08501800057</v>
      </c>
      <c r="J446" s="797">
        <v>104</v>
      </c>
      <c r="K446" s="797">
        <f t="shared" si="156"/>
        <v>4459.5296636346211</v>
      </c>
      <c r="L446" s="698"/>
      <c r="M446" s="698"/>
      <c r="N446" s="192" t="s">
        <v>1401</v>
      </c>
      <c r="O446" s="810">
        <f t="shared" si="159"/>
        <v>41160</v>
      </c>
      <c r="P446" s="810">
        <v>41163</v>
      </c>
      <c r="Q446" s="811" t="s">
        <v>1064</v>
      </c>
      <c r="R446" s="304">
        <f>J446/4</f>
        <v>26</v>
      </c>
      <c r="S446" s="842">
        <v>9828</v>
      </c>
      <c r="T446" s="25">
        <f t="shared" si="157"/>
        <v>255528</v>
      </c>
      <c r="U446" s="452"/>
      <c r="V446" s="812"/>
      <c r="W446" s="842"/>
      <c r="X446" s="842"/>
      <c r="Y446" s="25"/>
    </row>
    <row r="447" spans="1:25">
      <c r="A447" s="796">
        <f t="shared" si="160"/>
        <v>70</v>
      </c>
      <c r="B447" s="297" t="s">
        <v>1222</v>
      </c>
      <c r="C447" s="25">
        <f t="shared" si="154"/>
        <v>337560</v>
      </c>
      <c r="D447" s="797">
        <f t="shared" si="158"/>
        <v>1719106.1500117164</v>
      </c>
      <c r="E447" s="797">
        <f t="shared" si="158"/>
        <v>519129.58268538443</v>
      </c>
      <c r="F447" s="797">
        <f t="shared" si="158"/>
        <v>989284.87740451179</v>
      </c>
      <c r="G447" s="797">
        <f t="shared" si="158"/>
        <v>777538.71716762893</v>
      </c>
      <c r="H447" s="797">
        <f t="shared" si="158"/>
        <v>0</v>
      </c>
      <c r="I447" s="25">
        <f t="shared" si="155"/>
        <v>4342619.3272692412</v>
      </c>
      <c r="J447" s="797">
        <v>2000</v>
      </c>
      <c r="K447" s="797">
        <f t="shared" si="156"/>
        <v>2171.3096636346204</v>
      </c>
      <c r="L447" s="698"/>
      <c r="M447" s="698"/>
      <c r="N447" s="192" t="s">
        <v>1278</v>
      </c>
      <c r="O447" s="810">
        <f t="shared" si="159"/>
        <v>41160</v>
      </c>
      <c r="P447" s="810">
        <v>41163</v>
      </c>
      <c r="Q447" s="811" t="s">
        <v>1064</v>
      </c>
      <c r="R447" s="304">
        <v>20</v>
      </c>
      <c r="S447" s="842">
        <v>16878</v>
      </c>
      <c r="T447" s="25">
        <f t="shared" si="157"/>
        <v>337560</v>
      </c>
      <c r="U447" s="452"/>
      <c r="V447" s="812"/>
      <c r="W447" s="842"/>
      <c r="X447" s="842"/>
      <c r="Y447" s="25"/>
    </row>
    <row r="448" spans="1:25">
      <c r="A448" s="796">
        <f t="shared" si="160"/>
        <v>71</v>
      </c>
      <c r="B448" s="297" t="s">
        <v>1228</v>
      </c>
      <c r="C448" s="25">
        <f t="shared" si="154"/>
        <v>84390</v>
      </c>
      <c r="D448" s="797">
        <f t="shared" si="158"/>
        <v>343821.23000234331</v>
      </c>
      <c r="E448" s="797">
        <f t="shared" si="158"/>
        <v>103825.91653707689</v>
      </c>
      <c r="F448" s="797">
        <f t="shared" si="158"/>
        <v>197856.97548090236</v>
      </c>
      <c r="G448" s="797">
        <f t="shared" si="158"/>
        <v>155507.74343352579</v>
      </c>
      <c r="H448" s="797">
        <f t="shared" si="158"/>
        <v>0</v>
      </c>
      <c r="I448" s="25">
        <f t="shared" si="155"/>
        <v>885401.86545384838</v>
      </c>
      <c r="J448" s="797">
        <v>400</v>
      </c>
      <c r="K448" s="797">
        <f t="shared" si="156"/>
        <v>2213.504663634621</v>
      </c>
      <c r="L448" s="698"/>
      <c r="M448" s="698"/>
      <c r="N448" s="192" t="s">
        <v>1278</v>
      </c>
      <c r="O448" s="810">
        <f t="shared" si="159"/>
        <v>41160</v>
      </c>
      <c r="P448" s="810">
        <v>41163</v>
      </c>
      <c r="Q448" s="811" t="s">
        <v>1064</v>
      </c>
      <c r="R448" s="304">
        <v>5</v>
      </c>
      <c r="S448" s="842">
        <v>16878</v>
      </c>
      <c r="T448" s="25">
        <f t="shared" si="157"/>
        <v>84390</v>
      </c>
      <c r="U448" s="452"/>
      <c r="V448" s="812"/>
      <c r="W448" s="842"/>
      <c r="X448" s="842"/>
      <c r="Y448" s="25"/>
    </row>
    <row r="449" spans="1:25">
      <c r="A449" s="796">
        <f t="shared" si="160"/>
        <v>72</v>
      </c>
      <c r="B449" s="297" t="s">
        <v>1121</v>
      </c>
      <c r="C449" s="25">
        <f t="shared" si="154"/>
        <v>2767520</v>
      </c>
      <c r="D449" s="797">
        <f t="shared" si="158"/>
        <v>442669.83362801699</v>
      </c>
      <c r="E449" s="797">
        <f t="shared" si="158"/>
        <v>133675.86754148648</v>
      </c>
      <c r="F449" s="797">
        <f t="shared" si="158"/>
        <v>254740.85593166179</v>
      </c>
      <c r="G449" s="797">
        <f t="shared" si="158"/>
        <v>200216.21967066443</v>
      </c>
      <c r="H449" s="797">
        <f t="shared" si="158"/>
        <v>0</v>
      </c>
      <c r="I449" s="25">
        <f t="shared" si="155"/>
        <v>3798822.7767718295</v>
      </c>
      <c r="J449" s="797">
        <v>515</v>
      </c>
      <c r="K449" s="797">
        <f t="shared" si="156"/>
        <v>7376.3549063530672</v>
      </c>
      <c r="L449" s="698"/>
      <c r="M449" s="698"/>
      <c r="N449" s="192" t="s">
        <v>1352</v>
      </c>
      <c r="O449" s="810">
        <f t="shared" si="159"/>
        <v>41166</v>
      </c>
      <c r="P449" s="810">
        <v>41169</v>
      </c>
      <c r="Q449" s="811" t="s">
        <v>1065</v>
      </c>
      <c r="R449" s="304">
        <v>140</v>
      </c>
      <c r="S449" s="842">
        <v>19768</v>
      </c>
      <c r="T449" s="25">
        <f t="shared" si="157"/>
        <v>2767520</v>
      </c>
      <c r="U449" s="452"/>
      <c r="V449" s="812"/>
      <c r="W449" s="842"/>
      <c r="X449" s="842"/>
      <c r="Y449" s="25"/>
    </row>
    <row r="450" spans="1:25">
      <c r="A450" s="796">
        <f t="shared" si="160"/>
        <v>73</v>
      </c>
      <c r="B450" s="297" t="s">
        <v>1121</v>
      </c>
      <c r="C450" s="25">
        <f t="shared" si="154"/>
        <v>2855750</v>
      </c>
      <c r="D450" s="797">
        <f t="shared" si="158"/>
        <v>507136.31425345637</v>
      </c>
      <c r="E450" s="797">
        <f t="shared" si="158"/>
        <v>153143.2268921884</v>
      </c>
      <c r="F450" s="797">
        <f t="shared" si="158"/>
        <v>291839.03883433098</v>
      </c>
      <c r="G450" s="797">
        <f t="shared" si="158"/>
        <v>229373.92156445052</v>
      </c>
      <c r="H450" s="797">
        <f t="shared" si="158"/>
        <v>0</v>
      </c>
      <c r="I450" s="25">
        <f t="shared" si="155"/>
        <v>4037242.5015444262</v>
      </c>
      <c r="J450" s="797">
        <v>590</v>
      </c>
      <c r="K450" s="797">
        <f t="shared" si="156"/>
        <v>6842.7839009227564</v>
      </c>
      <c r="L450" s="698"/>
      <c r="M450" s="698"/>
      <c r="N450" s="192" t="s">
        <v>1269</v>
      </c>
      <c r="O450" s="810">
        <f t="shared" si="159"/>
        <v>41166</v>
      </c>
      <c r="P450" s="810">
        <v>41169</v>
      </c>
      <c r="Q450" s="811" t="s">
        <v>1065</v>
      </c>
      <c r="R450" s="304">
        <v>125</v>
      </c>
      <c r="S450" s="842">
        <v>22846</v>
      </c>
      <c r="T450" s="25">
        <f t="shared" si="157"/>
        <v>2855750</v>
      </c>
      <c r="U450" s="452"/>
      <c r="V450" s="812"/>
      <c r="W450" s="842"/>
      <c r="X450" s="842"/>
      <c r="Y450" s="25"/>
    </row>
    <row r="451" spans="1:25" s="815" customFormat="1">
      <c r="A451" s="796" t="str">
        <f>IF(B451&lt;&gt;"",#REF!+1,"")</f>
        <v/>
      </c>
      <c r="B451" s="827"/>
      <c r="C451" s="25"/>
      <c r="D451" s="797"/>
      <c r="E451" s="797"/>
      <c r="F451" s="797"/>
      <c r="G451" s="797"/>
      <c r="H451" s="797"/>
      <c r="I451" s="25"/>
      <c r="J451" s="254"/>
      <c r="K451" s="797"/>
      <c r="L451" s="698"/>
      <c r="M451" s="698"/>
      <c r="N451" s="452"/>
      <c r="O451" s="812"/>
      <c r="P451" s="810"/>
      <c r="Q451" s="811"/>
      <c r="R451" s="304"/>
      <c r="S451" s="842"/>
      <c r="T451" s="25">
        <f t="shared" si="143"/>
        <v>0</v>
      </c>
      <c r="U451" s="452"/>
      <c r="V451" s="812"/>
      <c r="W451" s="842"/>
      <c r="X451" s="842"/>
      <c r="Y451" s="25">
        <f t="shared" si="139"/>
        <v>0</v>
      </c>
    </row>
    <row r="452" spans="1:25" s="794" customFormat="1">
      <c r="A452" s="798"/>
      <c r="B452" s="799" t="s">
        <v>268</v>
      </c>
      <c r="C452" s="544">
        <f>SUM(C378:C451)</f>
        <v>250020048</v>
      </c>
      <c r="D452" s="544">
        <v>40350000</v>
      </c>
      <c r="E452" s="544">
        <f>$Y$452</f>
        <v>12184750</v>
      </c>
      <c r="F452" s="544">
        <v>23220000</v>
      </c>
      <c r="G452" s="544">
        <v>18250000</v>
      </c>
      <c r="H452" s="544"/>
      <c r="I452" s="544">
        <f>ROUND(SUM(I378:I451),0)</f>
        <v>344024798</v>
      </c>
      <c r="J452" s="544">
        <f>ROUND(SUM(J378:J451),0)</f>
        <v>46943</v>
      </c>
      <c r="K452" s="544"/>
      <c r="L452" s="807"/>
      <c r="M452" s="807"/>
      <c r="N452" s="816"/>
      <c r="O452" s="817"/>
      <c r="P452" s="817"/>
      <c r="Q452" s="818"/>
      <c r="R452" s="863"/>
      <c r="S452" s="27"/>
      <c r="T452" s="47">
        <f>SUM(T378:T451)</f>
        <v>250020048</v>
      </c>
      <c r="U452" s="816"/>
      <c r="V452" s="817"/>
      <c r="W452" s="830"/>
      <c r="X452" s="27"/>
      <c r="Y452" s="47">
        <f>SUM(Y378:Y451)</f>
        <v>12184750</v>
      </c>
    </row>
    <row r="453" spans="1:25" s="794" customFormat="1">
      <c r="A453" s="800"/>
      <c r="B453" s="801"/>
      <c r="C453" s="795"/>
      <c r="D453" s="795"/>
      <c r="E453" s="795"/>
      <c r="F453" s="795"/>
      <c r="G453" s="795"/>
      <c r="H453" s="795"/>
      <c r="I453" s="795"/>
      <c r="J453" s="795"/>
      <c r="K453" s="795"/>
      <c r="L453" s="807"/>
      <c r="M453" s="807"/>
      <c r="N453" s="293"/>
      <c r="O453" s="788"/>
      <c r="P453" s="788"/>
      <c r="Q453" s="806"/>
      <c r="R453" s="856"/>
      <c r="S453" s="293"/>
      <c r="T453" s="793"/>
      <c r="U453" s="293"/>
      <c r="V453" s="788"/>
      <c r="W453" s="293"/>
      <c r="X453" s="293"/>
      <c r="Y453" s="793"/>
    </row>
    <row r="454" spans="1:25" s="794" customFormat="1">
      <c r="A454" s="800"/>
      <c r="B454" s="801"/>
      <c r="C454" s="795"/>
      <c r="D454" s="795"/>
      <c r="E454" s="795"/>
      <c r="F454" s="795"/>
      <c r="G454" s="795"/>
      <c r="H454" s="795"/>
      <c r="I454" s="795"/>
      <c r="J454" s="795"/>
      <c r="K454" s="795"/>
      <c r="L454" s="807"/>
      <c r="M454" s="807"/>
      <c r="N454" s="293"/>
      <c r="O454" s="788"/>
      <c r="P454" s="788"/>
      <c r="Q454" s="806"/>
      <c r="R454" s="856"/>
      <c r="S454" s="293"/>
      <c r="T454" s="793"/>
      <c r="U454" s="293"/>
      <c r="V454" s="788"/>
      <c r="W454" s="293"/>
      <c r="X454" s="293"/>
      <c r="Y454" s="793"/>
    </row>
    <row r="455" spans="1:25" ht="18" customHeight="1">
      <c r="A455" s="584" t="s">
        <v>557</v>
      </c>
      <c r="B455" s="794"/>
      <c r="C455" s="293"/>
      <c r="D455" s="293"/>
      <c r="E455" s="293"/>
      <c r="F455" s="293"/>
      <c r="G455" s="293"/>
      <c r="H455" s="293"/>
      <c r="I455" s="293"/>
      <c r="J455" s="613"/>
      <c r="K455" s="293"/>
      <c r="L455" s="807"/>
      <c r="M455" s="807"/>
      <c r="N455" s="293"/>
      <c r="O455" s="788"/>
      <c r="P455" s="788"/>
      <c r="U455" s="293"/>
      <c r="V455" s="788"/>
    </row>
    <row r="456" spans="1:25" ht="18.75" customHeight="1">
      <c r="A456" s="795" t="s">
        <v>1107</v>
      </c>
      <c r="B456" s="795"/>
      <c r="C456" s="795"/>
      <c r="D456" s="795"/>
      <c r="E456" s="795"/>
      <c r="F456" s="795"/>
      <c r="G456" s="795"/>
      <c r="H456" s="795"/>
      <c r="I456" s="795"/>
      <c r="J456" s="795"/>
      <c r="K456" s="795"/>
      <c r="L456" s="807"/>
      <c r="M456" s="807"/>
      <c r="N456" s="293"/>
      <c r="O456" s="788"/>
      <c r="P456" s="788"/>
      <c r="U456" s="293"/>
      <c r="V456" s="788"/>
    </row>
    <row r="457" spans="1:25" ht="12.75" customHeight="1">
      <c r="A457" s="846"/>
      <c r="B457" s="838"/>
      <c r="C457" s="838"/>
      <c r="D457" s="838"/>
      <c r="E457" s="838"/>
      <c r="F457" s="838"/>
      <c r="G457" s="838"/>
      <c r="H457" s="838"/>
      <c r="I457" s="838"/>
      <c r="J457" s="808"/>
      <c r="K457" s="838"/>
      <c r="L457" s="807"/>
      <c r="M457" s="807"/>
      <c r="N457" s="293"/>
      <c r="O457" s="788"/>
      <c r="P457" s="788"/>
      <c r="U457" s="293"/>
      <c r="V457" s="788"/>
    </row>
    <row r="458" spans="1:25" s="450" customFormat="1" ht="30.75" customHeight="1">
      <c r="A458" s="866" t="s">
        <v>35</v>
      </c>
      <c r="B458" s="445" t="s">
        <v>258</v>
      </c>
      <c r="C458" s="446" t="s">
        <v>262</v>
      </c>
      <c r="D458" s="446" t="s">
        <v>512</v>
      </c>
      <c r="E458" s="446" t="s">
        <v>263</v>
      </c>
      <c r="F458" s="446" t="s">
        <v>504</v>
      </c>
      <c r="G458" s="447" t="s">
        <v>264</v>
      </c>
      <c r="H458" s="446" t="s">
        <v>503</v>
      </c>
      <c r="I458" s="446" t="s">
        <v>265</v>
      </c>
      <c r="J458" s="448" t="s">
        <v>260</v>
      </c>
      <c r="K458" s="446" t="s">
        <v>266</v>
      </c>
      <c r="L458" s="449"/>
      <c r="M458" s="449"/>
      <c r="N458" s="445" t="s">
        <v>258</v>
      </c>
      <c r="O458" s="446" t="s">
        <v>252</v>
      </c>
      <c r="P458" s="446"/>
      <c r="Q458" s="789"/>
      <c r="R458" s="858" t="s">
        <v>215</v>
      </c>
      <c r="S458" s="446" t="s">
        <v>261</v>
      </c>
      <c r="T458" s="446" t="s">
        <v>267</v>
      </c>
      <c r="U458" s="445" t="s">
        <v>258</v>
      </c>
      <c r="V458" s="446" t="s">
        <v>252</v>
      </c>
      <c r="W458" s="446" t="s">
        <v>215</v>
      </c>
      <c r="X458" s="446" t="s">
        <v>261</v>
      </c>
      <c r="Y458" s="445" t="s">
        <v>267</v>
      </c>
    </row>
    <row r="459" spans="1:25">
      <c r="A459" s="796">
        <f>IF(B459&lt;&gt;"",1,"")</f>
        <v>1</v>
      </c>
      <c r="B459" s="297" t="s">
        <v>1145</v>
      </c>
      <c r="C459" s="25">
        <f t="shared" ref="C459:C521" si="161">T459</f>
        <v>3944304</v>
      </c>
      <c r="D459" s="797">
        <f t="shared" ref="D459:H468" si="162">IF($J$523&lt;&gt;0,D$523/$J$523*$J459,0)</f>
        <v>689743.58974358975</v>
      </c>
      <c r="E459" s="797">
        <f t="shared" si="162"/>
        <v>225517.094017094</v>
      </c>
      <c r="F459" s="797">
        <f t="shared" si="162"/>
        <v>270085.47008547012</v>
      </c>
      <c r="G459" s="797">
        <f t="shared" si="162"/>
        <v>311965.811965812</v>
      </c>
      <c r="H459" s="797">
        <f t="shared" si="162"/>
        <v>0</v>
      </c>
      <c r="I459" s="25">
        <f t="shared" ref="I459:I517" si="163">SUM(C459:H459)</f>
        <v>5441615.965811966</v>
      </c>
      <c r="J459" s="797">
        <v>508</v>
      </c>
      <c r="K459" s="797">
        <f>IF(J459&lt;&gt;"",I459/J459,"")</f>
        <v>10711.842452385759</v>
      </c>
      <c r="L459" s="698"/>
      <c r="M459" s="698"/>
      <c r="N459" s="192" t="s">
        <v>1462</v>
      </c>
      <c r="O459" s="810">
        <f t="shared" ref="O459:O521" si="164">P459-3</f>
        <v>41180</v>
      </c>
      <c r="P459" s="810">
        <v>41183</v>
      </c>
      <c r="Q459" s="811" t="s">
        <v>1066</v>
      </c>
      <c r="R459" s="304">
        <v>258</v>
      </c>
      <c r="S459" s="832">
        <v>15288</v>
      </c>
      <c r="T459" s="25">
        <f t="shared" ref="T459:T522" si="165">ROUND(R459*S459,0)</f>
        <v>3944304</v>
      </c>
      <c r="U459" s="189" t="s">
        <v>403</v>
      </c>
      <c r="V459" s="810">
        <v>41183</v>
      </c>
      <c r="W459" s="842">
        <v>100</v>
      </c>
      <c r="X459" s="842">
        <v>25000</v>
      </c>
      <c r="Y459" s="25">
        <f t="shared" ref="Y459:Y522" si="166">ROUND(W459*X459,0)</f>
        <v>2500000</v>
      </c>
    </row>
    <row r="460" spans="1:25">
      <c r="A460" s="796">
        <f t="shared" ref="A460:A521" si="167">IF(B460&lt;&gt;"",A459+1,"")</f>
        <v>2</v>
      </c>
      <c r="B460" s="297" t="s">
        <v>1132</v>
      </c>
      <c r="C460" s="25">
        <f t="shared" si="161"/>
        <v>3852576</v>
      </c>
      <c r="D460" s="797">
        <f t="shared" si="162"/>
        <v>678881.48596810014</v>
      </c>
      <c r="E460" s="797">
        <f t="shared" si="162"/>
        <v>221965.6437176122</v>
      </c>
      <c r="F460" s="797">
        <f t="shared" si="162"/>
        <v>265832.15559593512</v>
      </c>
      <c r="G460" s="797">
        <f t="shared" si="162"/>
        <v>307052.96453327953</v>
      </c>
      <c r="H460" s="797">
        <f t="shared" si="162"/>
        <v>0</v>
      </c>
      <c r="I460" s="25">
        <f t="shared" si="163"/>
        <v>5326308.2498149266</v>
      </c>
      <c r="J460" s="797">
        <v>500</v>
      </c>
      <c r="K460" s="797">
        <f t="shared" ref="K460" si="168">IF(J460&lt;&gt;"",I460/J460,"")</f>
        <v>10652.616499629854</v>
      </c>
      <c r="L460" s="698"/>
      <c r="M460" s="698"/>
      <c r="N460" s="192" t="s">
        <v>1462</v>
      </c>
      <c r="O460" s="810">
        <f t="shared" si="164"/>
        <v>41191</v>
      </c>
      <c r="P460" s="810">
        <v>41194</v>
      </c>
      <c r="Q460" s="811" t="s">
        <v>433</v>
      </c>
      <c r="R460" s="304">
        <v>252</v>
      </c>
      <c r="S460" s="832">
        <v>15288</v>
      </c>
      <c r="T460" s="25">
        <f t="shared" si="165"/>
        <v>3852576</v>
      </c>
      <c r="U460" s="189" t="s">
        <v>370</v>
      </c>
      <c r="V460" s="810">
        <v>41235</v>
      </c>
      <c r="W460" s="842">
        <v>48</v>
      </c>
      <c r="X460" s="842">
        <v>42000</v>
      </c>
      <c r="Y460" s="25">
        <f t="shared" si="166"/>
        <v>2016000</v>
      </c>
    </row>
    <row r="461" spans="1:25">
      <c r="A461" s="796">
        <f t="shared" si="167"/>
        <v>3</v>
      </c>
      <c r="B461" s="297" t="s">
        <v>1121</v>
      </c>
      <c r="C461" s="25">
        <f t="shared" si="161"/>
        <v>2324862</v>
      </c>
      <c r="D461" s="797">
        <f t="shared" si="162"/>
        <v>689743.58974358975</v>
      </c>
      <c r="E461" s="797">
        <f t="shared" si="162"/>
        <v>225517.094017094</v>
      </c>
      <c r="F461" s="797">
        <f t="shared" si="162"/>
        <v>270085.47008547012</v>
      </c>
      <c r="G461" s="797">
        <f t="shared" si="162"/>
        <v>311965.811965812</v>
      </c>
      <c r="H461" s="797">
        <f t="shared" si="162"/>
        <v>0</v>
      </c>
      <c r="I461" s="25">
        <f t="shared" si="163"/>
        <v>3822173.965811966</v>
      </c>
      <c r="J461" s="797">
        <v>508</v>
      </c>
      <c r="K461" s="797">
        <f t="shared" ref="K461:K521" si="169">IF(J461&lt;&gt;"",I461/J461,"")</f>
        <v>7523.9644996298539</v>
      </c>
      <c r="L461" s="698"/>
      <c r="M461" s="698"/>
      <c r="N461" s="192" t="s">
        <v>1298</v>
      </c>
      <c r="O461" s="810">
        <f t="shared" si="164"/>
        <v>41191</v>
      </c>
      <c r="P461" s="810">
        <v>41194</v>
      </c>
      <c r="Q461" s="811" t="s">
        <v>433</v>
      </c>
      <c r="R461" s="304">
        <f>J461/4</f>
        <v>127</v>
      </c>
      <c r="S461" s="840">
        <v>18306</v>
      </c>
      <c r="T461" s="25">
        <f t="shared" ref="T461:T521" si="170">ROUND(R461*S461,0)</f>
        <v>2324862</v>
      </c>
      <c r="U461" s="867" t="s">
        <v>742</v>
      </c>
      <c r="V461" s="810">
        <v>41183</v>
      </c>
      <c r="W461" s="840">
        <v>34707</v>
      </c>
      <c r="X461" s="840">
        <v>250</v>
      </c>
      <c r="Y461" s="25">
        <f t="shared" ref="Y461:Y521" si="171">ROUND(W461*X461,0)</f>
        <v>8676750</v>
      </c>
    </row>
    <row r="462" spans="1:25">
      <c r="A462" s="796">
        <f t="shared" si="167"/>
        <v>4</v>
      </c>
      <c r="B462" s="297" t="s">
        <v>1143</v>
      </c>
      <c r="C462" s="25">
        <f t="shared" si="161"/>
        <v>7832500</v>
      </c>
      <c r="D462" s="797">
        <f t="shared" si="162"/>
        <v>1357762.9719362003</v>
      </c>
      <c r="E462" s="797">
        <f t="shared" si="162"/>
        <v>443931.2874352244</v>
      </c>
      <c r="F462" s="797">
        <f t="shared" si="162"/>
        <v>531664.31119187025</v>
      </c>
      <c r="G462" s="797">
        <f t="shared" si="162"/>
        <v>614105.92906655907</v>
      </c>
      <c r="H462" s="797">
        <f t="shared" si="162"/>
        <v>0</v>
      </c>
      <c r="I462" s="25">
        <f t="shared" si="163"/>
        <v>10779964.499629853</v>
      </c>
      <c r="J462" s="797">
        <v>1000</v>
      </c>
      <c r="K462" s="797">
        <f t="shared" si="169"/>
        <v>10779.964499629854</v>
      </c>
      <c r="L462" s="698"/>
      <c r="M462" s="698"/>
      <c r="N462" s="192" t="s">
        <v>1343</v>
      </c>
      <c r="O462" s="810">
        <f t="shared" si="164"/>
        <v>41191</v>
      </c>
      <c r="P462" s="810">
        <v>41194</v>
      </c>
      <c r="Q462" s="811" t="s">
        <v>622</v>
      </c>
      <c r="R462" s="304">
        <v>500</v>
      </c>
      <c r="S462" s="840">
        <v>15665</v>
      </c>
      <c r="T462" s="25">
        <f t="shared" si="170"/>
        <v>7832500</v>
      </c>
      <c r="U462" s="189"/>
      <c r="V462" s="810">
        <v>41183</v>
      </c>
      <c r="W462" s="792"/>
      <c r="X462" s="252"/>
      <c r="Y462" s="25">
        <f t="shared" si="171"/>
        <v>0</v>
      </c>
    </row>
    <row r="463" spans="1:25">
      <c r="A463" s="796">
        <f t="shared" si="167"/>
        <v>5</v>
      </c>
      <c r="B463" s="297" t="s">
        <v>1142</v>
      </c>
      <c r="C463" s="25">
        <f t="shared" si="161"/>
        <v>1855900</v>
      </c>
      <c r="D463" s="797">
        <f t="shared" si="162"/>
        <v>271552.59438724007</v>
      </c>
      <c r="E463" s="797">
        <f t="shared" si="162"/>
        <v>88786.257487044888</v>
      </c>
      <c r="F463" s="797">
        <f t="shared" si="162"/>
        <v>106332.86223837406</v>
      </c>
      <c r="G463" s="797">
        <f t="shared" si="162"/>
        <v>122821.18581331181</v>
      </c>
      <c r="H463" s="797">
        <f t="shared" si="162"/>
        <v>0</v>
      </c>
      <c r="I463" s="25">
        <f t="shared" si="163"/>
        <v>2445392.8999259709</v>
      </c>
      <c r="J463" s="797">
        <v>200</v>
      </c>
      <c r="K463" s="797">
        <f t="shared" si="169"/>
        <v>12226.964499629854</v>
      </c>
      <c r="L463" s="698"/>
      <c r="M463" s="698"/>
      <c r="N463" s="192" t="s">
        <v>1266</v>
      </c>
      <c r="O463" s="810">
        <f t="shared" si="164"/>
        <v>41191</v>
      </c>
      <c r="P463" s="810">
        <v>41194</v>
      </c>
      <c r="Q463" s="811" t="s">
        <v>622</v>
      </c>
      <c r="R463" s="304">
        <v>100</v>
      </c>
      <c r="S463" s="840">
        <v>18559</v>
      </c>
      <c r="T463" s="25">
        <f t="shared" si="170"/>
        <v>1855900</v>
      </c>
      <c r="U463" s="452"/>
      <c r="V463" s="810"/>
      <c r="W463" s="842"/>
      <c r="X463" s="840"/>
      <c r="Y463" s="25">
        <f t="shared" si="171"/>
        <v>0</v>
      </c>
    </row>
    <row r="464" spans="1:25">
      <c r="A464" s="796">
        <f t="shared" si="167"/>
        <v>6</v>
      </c>
      <c r="B464" s="297" t="s">
        <v>1144</v>
      </c>
      <c r="C464" s="25">
        <f t="shared" ref="C464:C478" si="172">T464</f>
        <v>915700</v>
      </c>
      <c r="D464" s="797">
        <f t="shared" si="162"/>
        <v>135776.29719362003</v>
      </c>
      <c r="E464" s="797">
        <f t="shared" si="162"/>
        <v>44393.128743522444</v>
      </c>
      <c r="F464" s="797">
        <f t="shared" si="162"/>
        <v>53166.431119187029</v>
      </c>
      <c r="G464" s="797">
        <f t="shared" si="162"/>
        <v>61410.592906655904</v>
      </c>
      <c r="H464" s="797">
        <f t="shared" si="162"/>
        <v>0</v>
      </c>
      <c r="I464" s="25">
        <f t="shared" ref="I464:I478" si="173">SUM(C464:H464)</f>
        <v>1210446.4499629855</v>
      </c>
      <c r="J464" s="797">
        <v>100</v>
      </c>
      <c r="K464" s="797">
        <f t="shared" ref="K464:K478" si="174">IF(J464&lt;&gt;"",I464/J464,"")</f>
        <v>12104.464499629854</v>
      </c>
      <c r="L464" s="698"/>
      <c r="M464" s="698"/>
      <c r="N464" s="192" t="s">
        <v>1355</v>
      </c>
      <c r="O464" s="810">
        <f t="shared" si="164"/>
        <v>41191</v>
      </c>
      <c r="P464" s="810">
        <v>41194</v>
      </c>
      <c r="Q464" s="811" t="s">
        <v>622</v>
      </c>
      <c r="R464" s="304">
        <v>50</v>
      </c>
      <c r="S464" s="840">
        <v>18314</v>
      </c>
      <c r="T464" s="25">
        <f t="shared" ref="T464:T478" si="175">ROUND(R464*S464,0)</f>
        <v>915700</v>
      </c>
      <c r="U464" s="452"/>
      <c r="V464" s="810"/>
      <c r="W464" s="842"/>
      <c r="X464" s="840"/>
      <c r="Y464" s="25">
        <f t="shared" ref="Y464:Y478" si="176">ROUND(W464*X464,0)</f>
        <v>0</v>
      </c>
    </row>
    <row r="465" spans="1:25">
      <c r="A465" s="796">
        <f t="shared" si="167"/>
        <v>7</v>
      </c>
      <c r="B465" s="297" t="s">
        <v>1143</v>
      </c>
      <c r="C465" s="25">
        <f t="shared" si="172"/>
        <v>7832500</v>
      </c>
      <c r="D465" s="797">
        <f t="shared" si="162"/>
        <v>1357762.9719362003</v>
      </c>
      <c r="E465" s="797">
        <f t="shared" si="162"/>
        <v>443931.2874352244</v>
      </c>
      <c r="F465" s="797">
        <f t="shared" si="162"/>
        <v>531664.31119187025</v>
      </c>
      <c r="G465" s="797">
        <f t="shared" si="162"/>
        <v>614105.92906655907</v>
      </c>
      <c r="H465" s="797">
        <f t="shared" si="162"/>
        <v>0</v>
      </c>
      <c r="I465" s="25">
        <f t="shared" si="173"/>
        <v>10779964.499629853</v>
      </c>
      <c r="J465" s="797">
        <v>1000</v>
      </c>
      <c r="K465" s="797">
        <f t="shared" si="174"/>
        <v>10779.964499629854</v>
      </c>
      <c r="L465" s="698"/>
      <c r="M465" s="698"/>
      <c r="N465" s="192" t="s">
        <v>1343</v>
      </c>
      <c r="O465" s="810">
        <f t="shared" si="164"/>
        <v>41192</v>
      </c>
      <c r="P465" s="810">
        <v>41195</v>
      </c>
      <c r="Q465" s="811" t="s">
        <v>1067</v>
      </c>
      <c r="R465" s="304">
        <v>500</v>
      </c>
      <c r="S465" s="840">
        <v>15665</v>
      </c>
      <c r="T465" s="25">
        <f t="shared" si="175"/>
        <v>7832500</v>
      </c>
      <c r="U465" s="452"/>
      <c r="V465" s="810"/>
      <c r="W465" s="842"/>
      <c r="X465" s="840"/>
      <c r="Y465" s="25">
        <f t="shared" si="176"/>
        <v>0</v>
      </c>
    </row>
    <row r="466" spans="1:25">
      <c r="A466" s="796">
        <f t="shared" si="167"/>
        <v>8</v>
      </c>
      <c r="B466" s="297" t="s">
        <v>1142</v>
      </c>
      <c r="C466" s="25">
        <f t="shared" si="172"/>
        <v>2783850</v>
      </c>
      <c r="D466" s="797">
        <f t="shared" si="162"/>
        <v>407328.89158086007</v>
      </c>
      <c r="E466" s="797">
        <f t="shared" si="162"/>
        <v>133179.38623056732</v>
      </c>
      <c r="F466" s="797">
        <f t="shared" si="162"/>
        <v>159499.29335756108</v>
      </c>
      <c r="G466" s="797">
        <f t="shared" si="162"/>
        <v>184231.77871996773</v>
      </c>
      <c r="H466" s="797">
        <f t="shared" si="162"/>
        <v>0</v>
      </c>
      <c r="I466" s="25">
        <f t="shared" si="173"/>
        <v>3668089.3498889562</v>
      </c>
      <c r="J466" s="797">
        <v>300</v>
      </c>
      <c r="K466" s="797">
        <f t="shared" si="174"/>
        <v>12226.964499629854</v>
      </c>
      <c r="L466" s="698"/>
      <c r="M466" s="698"/>
      <c r="N466" s="192" t="s">
        <v>1266</v>
      </c>
      <c r="O466" s="810">
        <f t="shared" si="164"/>
        <v>41192</v>
      </c>
      <c r="P466" s="810">
        <v>41195</v>
      </c>
      <c r="Q466" s="811" t="s">
        <v>1067</v>
      </c>
      <c r="R466" s="304">
        <v>150</v>
      </c>
      <c r="S466" s="840">
        <v>18559</v>
      </c>
      <c r="T466" s="25">
        <f t="shared" si="175"/>
        <v>2783850</v>
      </c>
      <c r="U466" s="452"/>
      <c r="V466" s="810"/>
      <c r="W466" s="842"/>
      <c r="X466" s="840"/>
      <c r="Y466" s="25">
        <f t="shared" si="176"/>
        <v>0</v>
      </c>
    </row>
    <row r="467" spans="1:25">
      <c r="A467" s="796">
        <f t="shared" si="167"/>
        <v>9</v>
      </c>
      <c r="B467" s="297" t="s">
        <v>1141</v>
      </c>
      <c r="C467" s="25">
        <f t="shared" si="172"/>
        <v>764400</v>
      </c>
      <c r="D467" s="797">
        <f t="shared" si="162"/>
        <v>135776.29719362003</v>
      </c>
      <c r="E467" s="797">
        <f t="shared" si="162"/>
        <v>44393.128743522444</v>
      </c>
      <c r="F467" s="797">
        <f t="shared" si="162"/>
        <v>53166.431119187029</v>
      </c>
      <c r="G467" s="797">
        <f t="shared" si="162"/>
        <v>61410.592906655904</v>
      </c>
      <c r="H467" s="797">
        <f t="shared" si="162"/>
        <v>0</v>
      </c>
      <c r="I467" s="25">
        <f t="shared" si="173"/>
        <v>1059146.4499629855</v>
      </c>
      <c r="J467" s="797">
        <v>100</v>
      </c>
      <c r="K467" s="797">
        <f t="shared" si="174"/>
        <v>10591.464499629854</v>
      </c>
      <c r="L467" s="698"/>
      <c r="M467" s="698"/>
      <c r="N467" s="192" t="s">
        <v>1462</v>
      </c>
      <c r="O467" s="810">
        <f t="shared" si="164"/>
        <v>41192</v>
      </c>
      <c r="P467" s="810">
        <v>41195</v>
      </c>
      <c r="Q467" s="811" t="s">
        <v>1067</v>
      </c>
      <c r="R467" s="304">
        <f>J467/2</f>
        <v>50</v>
      </c>
      <c r="S467" s="832">
        <v>15288</v>
      </c>
      <c r="T467" s="25">
        <f t="shared" si="175"/>
        <v>764400</v>
      </c>
      <c r="U467" s="452"/>
      <c r="V467" s="810"/>
      <c r="W467" s="842"/>
      <c r="X467" s="840"/>
      <c r="Y467" s="25">
        <f t="shared" si="176"/>
        <v>0</v>
      </c>
    </row>
    <row r="468" spans="1:25">
      <c r="A468" s="796">
        <f t="shared" si="167"/>
        <v>10</v>
      </c>
      <c r="B468" s="297" t="s">
        <v>1140</v>
      </c>
      <c r="C468" s="25">
        <f t="shared" si="172"/>
        <v>2269944</v>
      </c>
      <c r="D468" s="797">
        <f t="shared" si="162"/>
        <v>672092.67110841919</v>
      </c>
      <c r="E468" s="797">
        <f t="shared" si="162"/>
        <v>219745.98728043609</v>
      </c>
      <c r="F468" s="797">
        <f t="shared" si="162"/>
        <v>263173.83403997577</v>
      </c>
      <c r="G468" s="797">
        <f t="shared" si="162"/>
        <v>303982.4348879467</v>
      </c>
      <c r="H468" s="797">
        <f t="shared" si="162"/>
        <v>0</v>
      </c>
      <c r="I468" s="25">
        <f t="shared" si="173"/>
        <v>3728938.9273167774</v>
      </c>
      <c r="J468" s="797">
        <v>495</v>
      </c>
      <c r="K468" s="797">
        <f t="shared" si="174"/>
        <v>7533.2099541753078</v>
      </c>
      <c r="L468" s="698"/>
      <c r="M468" s="698"/>
      <c r="N468" s="192" t="s">
        <v>1298</v>
      </c>
      <c r="O468" s="810">
        <f t="shared" si="164"/>
        <v>41195</v>
      </c>
      <c r="P468" s="810">
        <v>41198</v>
      </c>
      <c r="Q468" s="811" t="s">
        <v>434</v>
      </c>
      <c r="R468" s="304">
        <v>124</v>
      </c>
      <c r="S468" s="840">
        <v>18306</v>
      </c>
      <c r="T468" s="25">
        <f t="shared" si="175"/>
        <v>2269944</v>
      </c>
      <c r="U468" s="452"/>
      <c r="V468" s="810"/>
      <c r="W468" s="842"/>
      <c r="X468" s="840"/>
      <c r="Y468" s="25">
        <f t="shared" si="176"/>
        <v>0</v>
      </c>
    </row>
    <row r="469" spans="1:25">
      <c r="A469" s="796">
        <f t="shared" si="167"/>
        <v>11</v>
      </c>
      <c r="B469" s="297" t="s">
        <v>1132</v>
      </c>
      <c r="C469" s="25">
        <f t="shared" si="172"/>
        <v>3822000</v>
      </c>
      <c r="D469" s="797">
        <f t="shared" ref="D469:H478" si="177">IF($J$523&lt;&gt;0,D$523/$J$523*$J469,0)</f>
        <v>663946.09327680198</v>
      </c>
      <c r="E469" s="797">
        <f t="shared" si="177"/>
        <v>217082.39955582476</v>
      </c>
      <c r="F469" s="797">
        <f t="shared" si="177"/>
        <v>259983.84817282457</v>
      </c>
      <c r="G469" s="797">
        <f t="shared" si="177"/>
        <v>300297.79931354738</v>
      </c>
      <c r="H469" s="797">
        <f t="shared" si="177"/>
        <v>0</v>
      </c>
      <c r="I469" s="25">
        <f t="shared" si="173"/>
        <v>5263310.1403189991</v>
      </c>
      <c r="J469" s="797">
        <v>489</v>
      </c>
      <c r="K469" s="797">
        <f t="shared" si="174"/>
        <v>10763.415419875253</v>
      </c>
      <c r="L469" s="698"/>
      <c r="M469" s="698"/>
      <c r="N469" s="192" t="s">
        <v>1462</v>
      </c>
      <c r="O469" s="810">
        <f t="shared" si="164"/>
        <v>41196</v>
      </c>
      <c r="P469" s="810">
        <v>41199</v>
      </c>
      <c r="Q469" s="811" t="s">
        <v>1068</v>
      </c>
      <c r="R469" s="304">
        <v>250</v>
      </c>
      <c r="S469" s="832">
        <v>15288</v>
      </c>
      <c r="T469" s="25">
        <f t="shared" si="175"/>
        <v>3822000</v>
      </c>
      <c r="U469" s="452"/>
      <c r="V469" s="810"/>
      <c r="W469" s="842"/>
      <c r="X469" s="840"/>
      <c r="Y469" s="25">
        <f t="shared" si="176"/>
        <v>0</v>
      </c>
    </row>
    <row r="470" spans="1:25">
      <c r="A470" s="796">
        <f t="shared" si="167"/>
        <v>12</v>
      </c>
      <c r="B470" s="297" t="s">
        <v>1121</v>
      </c>
      <c r="C470" s="25">
        <f t="shared" si="172"/>
        <v>2251638</v>
      </c>
      <c r="D470" s="797">
        <f t="shared" si="177"/>
        <v>665303.85624873813</v>
      </c>
      <c r="E470" s="797">
        <f t="shared" si="177"/>
        <v>217526.33084325996</v>
      </c>
      <c r="F470" s="797">
        <f t="shared" si="177"/>
        <v>260515.51248401645</v>
      </c>
      <c r="G470" s="797">
        <f t="shared" si="177"/>
        <v>300911.90524261392</v>
      </c>
      <c r="H470" s="797">
        <f t="shared" si="177"/>
        <v>0</v>
      </c>
      <c r="I470" s="25">
        <f t="shared" si="173"/>
        <v>3695895.6048186286</v>
      </c>
      <c r="J470" s="797">
        <v>490</v>
      </c>
      <c r="K470" s="797">
        <f t="shared" si="174"/>
        <v>7542.6440914665891</v>
      </c>
      <c r="L470" s="698"/>
      <c r="M470" s="698"/>
      <c r="N470" s="192" t="s">
        <v>1298</v>
      </c>
      <c r="O470" s="810">
        <f t="shared" si="164"/>
        <v>41196</v>
      </c>
      <c r="P470" s="810">
        <v>41199</v>
      </c>
      <c r="Q470" s="811" t="s">
        <v>1068</v>
      </c>
      <c r="R470" s="304">
        <v>123</v>
      </c>
      <c r="S470" s="840">
        <v>18306</v>
      </c>
      <c r="T470" s="25">
        <f t="shared" si="175"/>
        <v>2251638</v>
      </c>
      <c r="U470" s="452"/>
      <c r="V470" s="810"/>
      <c r="W470" s="842"/>
      <c r="X470" s="840"/>
      <c r="Y470" s="25">
        <f t="shared" si="176"/>
        <v>0</v>
      </c>
    </row>
    <row r="471" spans="1:25">
      <c r="A471" s="796">
        <f t="shared" si="167"/>
        <v>13</v>
      </c>
      <c r="B471" s="297" t="s">
        <v>1069</v>
      </c>
      <c r="C471" s="25">
        <f t="shared" si="172"/>
        <v>360135</v>
      </c>
      <c r="D471" s="797">
        <f t="shared" si="177"/>
        <v>143922.87502523724</v>
      </c>
      <c r="E471" s="797">
        <f t="shared" si="177"/>
        <v>47056.716468133789</v>
      </c>
      <c r="F471" s="797">
        <f t="shared" si="177"/>
        <v>56356.416986338249</v>
      </c>
      <c r="G471" s="797">
        <f t="shared" si="177"/>
        <v>65095.228481055259</v>
      </c>
      <c r="H471" s="797">
        <f t="shared" si="177"/>
        <v>0</v>
      </c>
      <c r="I471" s="25">
        <f t="shared" si="173"/>
        <v>672566.23696076439</v>
      </c>
      <c r="J471" s="797">
        <v>106</v>
      </c>
      <c r="K471" s="797">
        <f t="shared" si="174"/>
        <v>6344.964499629853</v>
      </c>
      <c r="L471" s="698"/>
      <c r="M471" s="698"/>
      <c r="N471" s="192" t="s">
        <v>1337</v>
      </c>
      <c r="O471" s="810">
        <f t="shared" si="164"/>
        <v>41196</v>
      </c>
      <c r="P471" s="810">
        <v>41199</v>
      </c>
      <c r="Q471" s="811" t="s">
        <v>435</v>
      </c>
      <c r="R471" s="8">
        <f t="shared" ref="R471:R474" si="178">J471/4</f>
        <v>26.5</v>
      </c>
      <c r="S471" s="840">
        <v>13590</v>
      </c>
      <c r="T471" s="25">
        <f t="shared" si="175"/>
        <v>360135</v>
      </c>
      <c r="U471" s="452"/>
      <c r="V471" s="810"/>
      <c r="W471" s="842"/>
      <c r="X471" s="840"/>
      <c r="Y471" s="25">
        <f t="shared" si="176"/>
        <v>0</v>
      </c>
    </row>
    <row r="472" spans="1:25">
      <c r="A472" s="796">
        <f t="shared" si="167"/>
        <v>14</v>
      </c>
      <c r="B472" s="297" t="s">
        <v>1070</v>
      </c>
      <c r="C472" s="25">
        <f t="shared" si="172"/>
        <v>375856</v>
      </c>
      <c r="D472" s="797">
        <f t="shared" si="177"/>
        <v>141207.34908136484</v>
      </c>
      <c r="E472" s="797">
        <f t="shared" si="177"/>
        <v>46168.853893263338</v>
      </c>
      <c r="F472" s="797">
        <f t="shared" si="177"/>
        <v>55293.088363954514</v>
      </c>
      <c r="G472" s="797">
        <f t="shared" si="177"/>
        <v>63867.016622922143</v>
      </c>
      <c r="H472" s="797">
        <f t="shared" si="177"/>
        <v>0</v>
      </c>
      <c r="I472" s="25">
        <f t="shared" si="173"/>
        <v>682392.30796150491</v>
      </c>
      <c r="J472" s="797">
        <v>104</v>
      </c>
      <c r="K472" s="797">
        <f t="shared" si="174"/>
        <v>6561.4644996298548</v>
      </c>
      <c r="L472" s="698"/>
      <c r="M472" s="698"/>
      <c r="N472" s="192" t="s">
        <v>1454</v>
      </c>
      <c r="O472" s="810">
        <f t="shared" si="164"/>
        <v>41196</v>
      </c>
      <c r="P472" s="810">
        <v>41199</v>
      </c>
      <c r="Q472" s="811" t="s">
        <v>435</v>
      </c>
      <c r="R472" s="8">
        <f t="shared" si="178"/>
        <v>26</v>
      </c>
      <c r="S472" s="840">
        <v>14456</v>
      </c>
      <c r="T472" s="25">
        <f t="shared" si="175"/>
        <v>375856</v>
      </c>
      <c r="U472" s="452"/>
      <c r="V472" s="810"/>
      <c r="W472" s="842"/>
      <c r="X472" s="840"/>
      <c r="Y472" s="25">
        <f t="shared" si="176"/>
        <v>0</v>
      </c>
    </row>
    <row r="473" spans="1:25">
      <c r="A473" s="796">
        <f t="shared" si="167"/>
        <v>15</v>
      </c>
      <c r="B473" s="297" t="s">
        <v>1139</v>
      </c>
      <c r="C473" s="25">
        <f t="shared" si="172"/>
        <v>6407100</v>
      </c>
      <c r="D473" s="797">
        <f t="shared" si="177"/>
        <v>699247.9305471431</v>
      </c>
      <c r="E473" s="797">
        <f t="shared" si="177"/>
        <v>228624.61302914057</v>
      </c>
      <c r="F473" s="797">
        <f t="shared" si="177"/>
        <v>273807.12026381318</v>
      </c>
      <c r="G473" s="797">
        <f t="shared" si="177"/>
        <v>316264.55346927792</v>
      </c>
      <c r="H473" s="797">
        <f t="shared" si="177"/>
        <v>0</v>
      </c>
      <c r="I473" s="25">
        <f t="shared" si="173"/>
        <v>7925044.2173093753</v>
      </c>
      <c r="J473" s="797">
        <v>515</v>
      </c>
      <c r="K473" s="797">
        <f t="shared" si="174"/>
        <v>15388.435373416263</v>
      </c>
      <c r="L473" s="698"/>
      <c r="M473" s="698"/>
      <c r="N473" s="192" t="s">
        <v>1298</v>
      </c>
      <c r="O473" s="810">
        <f t="shared" si="164"/>
        <v>41198</v>
      </c>
      <c r="P473" s="810">
        <v>41201</v>
      </c>
      <c r="Q473" s="811" t="s">
        <v>1071</v>
      </c>
      <c r="R473" s="304">
        <v>350</v>
      </c>
      <c r="S473" s="840">
        <v>18306</v>
      </c>
      <c r="T473" s="25">
        <f t="shared" si="175"/>
        <v>6407100</v>
      </c>
      <c r="U473" s="452"/>
      <c r="V473" s="810"/>
      <c r="W473" s="842"/>
      <c r="X473" s="840"/>
      <c r="Y473" s="25">
        <f t="shared" si="176"/>
        <v>0</v>
      </c>
    </row>
    <row r="474" spans="1:25">
      <c r="A474" s="796">
        <f t="shared" si="167"/>
        <v>16</v>
      </c>
      <c r="B474" s="297" t="s">
        <v>1138</v>
      </c>
      <c r="C474" s="25">
        <f t="shared" si="172"/>
        <v>3744104</v>
      </c>
      <c r="D474" s="797">
        <f t="shared" si="177"/>
        <v>1406642.4389259035</v>
      </c>
      <c r="E474" s="797">
        <f t="shared" si="177"/>
        <v>459912.81378289248</v>
      </c>
      <c r="F474" s="797">
        <f t="shared" si="177"/>
        <v>550804.22639477765</v>
      </c>
      <c r="G474" s="797">
        <f t="shared" si="177"/>
        <v>636213.74251295521</v>
      </c>
      <c r="H474" s="797">
        <f t="shared" si="177"/>
        <v>0</v>
      </c>
      <c r="I474" s="25">
        <f t="shared" si="173"/>
        <v>6797677.221616528</v>
      </c>
      <c r="J474" s="797">
        <v>1036</v>
      </c>
      <c r="K474" s="797">
        <f t="shared" si="174"/>
        <v>6561.464499629853</v>
      </c>
      <c r="L474" s="698"/>
      <c r="M474" s="698"/>
      <c r="N474" s="192" t="s">
        <v>1454</v>
      </c>
      <c r="O474" s="810">
        <f t="shared" si="164"/>
        <v>41198</v>
      </c>
      <c r="P474" s="810">
        <v>41201</v>
      </c>
      <c r="Q474" s="811" t="s">
        <v>1072</v>
      </c>
      <c r="R474" s="8">
        <f t="shared" si="178"/>
        <v>259</v>
      </c>
      <c r="S474" s="840">
        <v>14456</v>
      </c>
      <c r="T474" s="25">
        <f t="shared" si="175"/>
        <v>3744104</v>
      </c>
      <c r="U474" s="452"/>
      <c r="V474" s="810"/>
      <c r="W474" s="842"/>
      <c r="X474" s="840"/>
      <c r="Y474" s="25">
        <f t="shared" si="176"/>
        <v>0</v>
      </c>
    </row>
    <row r="475" spans="1:25">
      <c r="A475" s="796">
        <f t="shared" si="167"/>
        <v>17</v>
      </c>
      <c r="B475" s="297" t="s">
        <v>1125</v>
      </c>
      <c r="C475" s="25">
        <f t="shared" si="172"/>
        <v>5447585</v>
      </c>
      <c r="D475" s="797">
        <f t="shared" si="177"/>
        <v>1384918.2313749243</v>
      </c>
      <c r="E475" s="797">
        <f t="shared" si="177"/>
        <v>452809.91318392893</v>
      </c>
      <c r="F475" s="797">
        <f t="shared" si="177"/>
        <v>542297.59741570766</v>
      </c>
      <c r="G475" s="797">
        <f t="shared" si="177"/>
        <v>626388.04764789017</v>
      </c>
      <c r="H475" s="797">
        <f t="shared" si="177"/>
        <v>0</v>
      </c>
      <c r="I475" s="25">
        <f t="shared" si="173"/>
        <v>8453998.7896224502</v>
      </c>
      <c r="J475" s="797">
        <v>1020</v>
      </c>
      <c r="K475" s="797">
        <f t="shared" si="174"/>
        <v>8288.2341074729902</v>
      </c>
      <c r="L475" s="698"/>
      <c r="M475" s="698"/>
      <c r="N475" s="192" t="s">
        <v>1460</v>
      </c>
      <c r="O475" s="810">
        <f t="shared" si="164"/>
        <v>41202</v>
      </c>
      <c r="P475" s="810">
        <v>41205</v>
      </c>
      <c r="Q475" s="811" t="s">
        <v>1073</v>
      </c>
      <c r="R475" s="304">
        <f>J475/2</f>
        <v>510</v>
      </c>
      <c r="S475" s="840">
        <v>10681.538922155689</v>
      </c>
      <c r="T475" s="25">
        <f t="shared" si="175"/>
        <v>5447585</v>
      </c>
      <c r="U475" s="452"/>
      <c r="V475" s="810"/>
      <c r="W475" s="842"/>
      <c r="X475" s="840"/>
      <c r="Y475" s="25">
        <f t="shared" si="176"/>
        <v>0</v>
      </c>
    </row>
    <row r="476" spans="1:25">
      <c r="A476" s="796">
        <f t="shared" si="167"/>
        <v>18</v>
      </c>
      <c r="B476" s="297" t="s">
        <v>1137</v>
      </c>
      <c r="C476" s="25">
        <f t="shared" si="172"/>
        <v>3447250</v>
      </c>
      <c r="D476" s="797">
        <f t="shared" si="177"/>
        <v>1832980.0121138704</v>
      </c>
      <c r="E476" s="797">
        <f t="shared" si="177"/>
        <v>599307.23803755292</v>
      </c>
      <c r="F476" s="797">
        <f t="shared" si="177"/>
        <v>717746.82010902488</v>
      </c>
      <c r="G476" s="797">
        <f t="shared" si="177"/>
        <v>829043.00423985475</v>
      </c>
      <c r="H476" s="797">
        <f t="shared" si="177"/>
        <v>0</v>
      </c>
      <c r="I476" s="25">
        <f t="shared" si="173"/>
        <v>7426327.0745003019</v>
      </c>
      <c r="J476" s="797">
        <v>1350</v>
      </c>
      <c r="K476" s="797">
        <f t="shared" si="174"/>
        <v>5500.9830181483721</v>
      </c>
      <c r="L476" s="698"/>
      <c r="M476" s="698"/>
      <c r="N476" s="192" t="s">
        <v>1440</v>
      </c>
      <c r="O476" s="810">
        <f t="shared" si="164"/>
        <v>41202</v>
      </c>
      <c r="P476" s="810">
        <v>41205</v>
      </c>
      <c r="Q476" s="811" t="s">
        <v>1074</v>
      </c>
      <c r="R476" s="8">
        <v>250</v>
      </c>
      <c r="S476" s="840">
        <v>13789</v>
      </c>
      <c r="T476" s="25">
        <f t="shared" si="175"/>
        <v>3447250</v>
      </c>
      <c r="U476" s="452"/>
      <c r="V476" s="810"/>
      <c r="W476" s="842"/>
      <c r="X476" s="840"/>
      <c r="Y476" s="25">
        <f t="shared" si="176"/>
        <v>0</v>
      </c>
    </row>
    <row r="477" spans="1:25">
      <c r="A477" s="796">
        <f t="shared" si="167"/>
        <v>19</v>
      </c>
      <c r="B477" s="297" t="s">
        <v>1136</v>
      </c>
      <c r="C477" s="25">
        <f t="shared" si="172"/>
        <v>3742867</v>
      </c>
      <c r="D477" s="797">
        <f t="shared" si="177"/>
        <v>837739.75368463562</v>
      </c>
      <c r="E477" s="797">
        <f t="shared" si="177"/>
        <v>273905.60434753349</v>
      </c>
      <c r="F477" s="797">
        <f t="shared" si="177"/>
        <v>328036.88000538398</v>
      </c>
      <c r="G477" s="797">
        <f t="shared" si="177"/>
        <v>378903.35823406692</v>
      </c>
      <c r="H477" s="797">
        <f t="shared" si="177"/>
        <v>0</v>
      </c>
      <c r="I477" s="25">
        <f t="shared" si="173"/>
        <v>5561452.5962716192</v>
      </c>
      <c r="J477" s="797">
        <v>617</v>
      </c>
      <c r="K477" s="797">
        <f t="shared" si="174"/>
        <v>9013.6995077335814</v>
      </c>
      <c r="L477" s="698"/>
      <c r="M477" s="698"/>
      <c r="N477" s="192" t="s">
        <v>1288</v>
      </c>
      <c r="O477" s="810">
        <f t="shared" si="164"/>
        <v>41202</v>
      </c>
      <c r="P477" s="810">
        <v>41205</v>
      </c>
      <c r="Q477" s="811" t="s">
        <v>1074</v>
      </c>
      <c r="R477" s="304">
        <v>310</v>
      </c>
      <c r="S477" s="840">
        <v>12073.764705882353</v>
      </c>
      <c r="T477" s="25">
        <f t="shared" si="175"/>
        <v>3742867</v>
      </c>
      <c r="U477" s="452"/>
      <c r="V477" s="810"/>
      <c r="W477" s="842"/>
      <c r="X477" s="840"/>
      <c r="Y477" s="25">
        <f t="shared" si="176"/>
        <v>0</v>
      </c>
    </row>
    <row r="478" spans="1:25">
      <c r="A478" s="796">
        <f t="shared" si="167"/>
        <v>20</v>
      </c>
      <c r="B478" s="297" t="s">
        <v>1135</v>
      </c>
      <c r="C478" s="25">
        <f t="shared" si="172"/>
        <v>689450</v>
      </c>
      <c r="D478" s="797">
        <f t="shared" si="177"/>
        <v>397824.55077730666</v>
      </c>
      <c r="E478" s="797">
        <f t="shared" si="177"/>
        <v>130071.86721852075</v>
      </c>
      <c r="F478" s="797">
        <f t="shared" si="177"/>
        <v>155777.64317921799</v>
      </c>
      <c r="G478" s="797">
        <f t="shared" si="177"/>
        <v>179933.03721650181</v>
      </c>
      <c r="H478" s="797">
        <f t="shared" si="177"/>
        <v>0</v>
      </c>
      <c r="I478" s="25">
        <f t="shared" si="173"/>
        <v>1553057.0983915473</v>
      </c>
      <c r="J478" s="797">
        <v>293</v>
      </c>
      <c r="K478" s="797">
        <f t="shared" si="174"/>
        <v>5300.5361719848033</v>
      </c>
      <c r="L478" s="698"/>
      <c r="M478" s="698"/>
      <c r="N478" s="192" t="s">
        <v>1440</v>
      </c>
      <c r="O478" s="810">
        <f t="shared" si="164"/>
        <v>41202</v>
      </c>
      <c r="P478" s="810">
        <v>41205</v>
      </c>
      <c r="Q478" s="811" t="s">
        <v>1074</v>
      </c>
      <c r="R478" s="8">
        <v>50</v>
      </c>
      <c r="S478" s="840">
        <v>13789</v>
      </c>
      <c r="T478" s="25">
        <f t="shared" si="175"/>
        <v>689450</v>
      </c>
      <c r="U478" s="452"/>
      <c r="V478" s="810"/>
      <c r="W478" s="842"/>
      <c r="X478" s="840"/>
      <c r="Y478" s="25">
        <f t="shared" si="176"/>
        <v>0</v>
      </c>
    </row>
    <row r="479" spans="1:25">
      <c r="A479" s="796">
        <f t="shared" si="167"/>
        <v>21</v>
      </c>
      <c r="B479" s="297" t="s">
        <v>1117</v>
      </c>
      <c r="C479" s="25">
        <f t="shared" si="161"/>
        <v>3149328</v>
      </c>
      <c r="D479" s="797">
        <f t="shared" ref="D479:H488" si="179">IF($J$523&lt;&gt;0,D$523/$J$523*$J479,0)</f>
        <v>678881.48596810014</v>
      </c>
      <c r="E479" s="797">
        <f t="shared" si="179"/>
        <v>221965.6437176122</v>
      </c>
      <c r="F479" s="797">
        <f t="shared" si="179"/>
        <v>265832.15559593512</v>
      </c>
      <c r="G479" s="797">
        <f t="shared" si="179"/>
        <v>307052.96453327953</v>
      </c>
      <c r="H479" s="797">
        <f t="shared" si="179"/>
        <v>0</v>
      </c>
      <c r="I479" s="25">
        <f t="shared" si="163"/>
        <v>4623060.2498149266</v>
      </c>
      <c r="J479" s="797">
        <v>500</v>
      </c>
      <c r="K479" s="797">
        <f t="shared" si="169"/>
        <v>9246.1204996298529</v>
      </c>
      <c r="L479" s="698"/>
      <c r="M479" s="698"/>
      <c r="N479" s="192" t="s">
        <v>1358</v>
      </c>
      <c r="O479" s="810">
        <f t="shared" si="164"/>
        <v>41202</v>
      </c>
      <c r="P479" s="810">
        <v>41205</v>
      </c>
      <c r="Q479" s="811" t="s">
        <v>1074</v>
      </c>
      <c r="R479" s="304">
        <v>168</v>
      </c>
      <c r="S479" s="840">
        <v>18746</v>
      </c>
      <c r="T479" s="25">
        <f t="shared" si="170"/>
        <v>3149328</v>
      </c>
      <c r="U479" s="452"/>
      <c r="V479" s="810"/>
      <c r="W479" s="842"/>
      <c r="X479" s="840"/>
      <c r="Y479" s="25">
        <f t="shared" si="171"/>
        <v>0</v>
      </c>
    </row>
    <row r="480" spans="1:25">
      <c r="A480" s="796">
        <f t="shared" si="167"/>
        <v>22</v>
      </c>
      <c r="B480" s="297" t="s">
        <v>1117</v>
      </c>
      <c r="C480" s="25">
        <f t="shared" si="161"/>
        <v>599872</v>
      </c>
      <c r="D480" s="797">
        <f t="shared" si="179"/>
        <v>133060.77124974763</v>
      </c>
      <c r="E480" s="797">
        <f t="shared" si="179"/>
        <v>43505.266168651993</v>
      </c>
      <c r="F480" s="797">
        <f t="shared" si="179"/>
        <v>52103.102496803287</v>
      </c>
      <c r="G480" s="797">
        <f t="shared" si="179"/>
        <v>60182.381048522788</v>
      </c>
      <c r="H480" s="797">
        <f t="shared" si="179"/>
        <v>0</v>
      </c>
      <c r="I480" s="25">
        <f t="shared" si="163"/>
        <v>888723.52096372563</v>
      </c>
      <c r="J480" s="797">
        <v>98</v>
      </c>
      <c r="K480" s="797">
        <f t="shared" si="169"/>
        <v>9068.6073567727108</v>
      </c>
      <c r="L480" s="698"/>
      <c r="M480" s="698"/>
      <c r="N480" s="192" t="s">
        <v>1358</v>
      </c>
      <c r="O480" s="810">
        <f t="shared" si="164"/>
        <v>41205</v>
      </c>
      <c r="P480" s="810">
        <v>41208</v>
      </c>
      <c r="Q480" s="811" t="s">
        <v>1075</v>
      </c>
      <c r="R480" s="304">
        <v>32</v>
      </c>
      <c r="S480" s="840">
        <v>18746</v>
      </c>
      <c r="T480" s="25">
        <f t="shared" si="170"/>
        <v>599872</v>
      </c>
      <c r="U480" s="452"/>
      <c r="V480" s="810"/>
      <c r="W480" s="842"/>
      <c r="X480" s="840"/>
      <c r="Y480" s="25">
        <f t="shared" si="171"/>
        <v>0</v>
      </c>
    </row>
    <row r="481" spans="1:25">
      <c r="A481" s="796">
        <f t="shared" si="167"/>
        <v>23</v>
      </c>
      <c r="B481" s="297" t="s">
        <v>1118</v>
      </c>
      <c r="C481" s="25">
        <f t="shared" si="161"/>
        <v>2854332</v>
      </c>
      <c r="D481" s="797">
        <f t="shared" si="179"/>
        <v>1727074.5003028468</v>
      </c>
      <c r="E481" s="797">
        <f t="shared" si="179"/>
        <v>564680.59761760547</v>
      </c>
      <c r="F481" s="797">
        <f t="shared" si="179"/>
        <v>676277.00383605901</v>
      </c>
      <c r="G481" s="797">
        <f t="shared" si="179"/>
        <v>781142.74177266308</v>
      </c>
      <c r="H481" s="797">
        <f t="shared" si="179"/>
        <v>0</v>
      </c>
      <c r="I481" s="25">
        <f t="shared" si="163"/>
        <v>6603506.8435291741</v>
      </c>
      <c r="J481" s="797">
        <v>1272</v>
      </c>
      <c r="K481" s="797">
        <f t="shared" si="169"/>
        <v>5191.4361977430617</v>
      </c>
      <c r="L481" s="698"/>
      <c r="M481" s="698"/>
      <c r="N481" s="192" t="s">
        <v>898</v>
      </c>
      <c r="O481" s="810">
        <f t="shared" si="164"/>
        <v>41205</v>
      </c>
      <c r="P481" s="810">
        <v>41208</v>
      </c>
      <c r="Q481" s="811" t="s">
        <v>1075</v>
      </c>
      <c r="R481" s="8">
        <v>214</v>
      </c>
      <c r="S481" s="840">
        <v>13338</v>
      </c>
      <c r="T481" s="25">
        <f t="shared" si="170"/>
        <v>2854332</v>
      </c>
      <c r="U481" s="452"/>
      <c r="V481" s="810"/>
      <c r="W481" s="842"/>
      <c r="X481" s="840"/>
      <c r="Y481" s="25">
        <f t="shared" si="171"/>
        <v>0</v>
      </c>
    </row>
    <row r="482" spans="1:25">
      <c r="A482" s="796">
        <f t="shared" si="167"/>
        <v>24</v>
      </c>
      <c r="B482" s="297" t="s">
        <v>1134</v>
      </c>
      <c r="C482" s="25">
        <f t="shared" si="161"/>
        <v>2419200</v>
      </c>
      <c r="D482" s="797">
        <f t="shared" si="179"/>
        <v>868968.30203916819</v>
      </c>
      <c r="E482" s="797">
        <f t="shared" si="179"/>
        <v>284116.02395854361</v>
      </c>
      <c r="F482" s="797">
        <f t="shared" si="179"/>
        <v>340265.15916279698</v>
      </c>
      <c r="G482" s="797">
        <f t="shared" si="179"/>
        <v>393027.79460259777</v>
      </c>
      <c r="H482" s="797">
        <f t="shared" si="179"/>
        <v>0</v>
      </c>
      <c r="I482" s="25">
        <f t="shared" si="163"/>
        <v>4305577.2797631072</v>
      </c>
      <c r="J482" s="797">
        <v>640</v>
      </c>
      <c r="K482" s="797">
        <f t="shared" si="169"/>
        <v>6727.4644996298548</v>
      </c>
      <c r="L482" s="698"/>
      <c r="M482" s="698"/>
      <c r="N482" s="192" t="s">
        <v>1457</v>
      </c>
      <c r="O482" s="810">
        <f t="shared" si="164"/>
        <v>41205</v>
      </c>
      <c r="P482" s="810">
        <v>41208</v>
      </c>
      <c r="Q482" s="811" t="s">
        <v>1075</v>
      </c>
      <c r="R482" s="8">
        <f t="shared" ref="R482" si="180">J482/4</f>
        <v>160</v>
      </c>
      <c r="S482" s="293">
        <v>15120</v>
      </c>
      <c r="T482" s="25">
        <f t="shared" si="170"/>
        <v>2419200</v>
      </c>
      <c r="U482" s="452"/>
      <c r="V482" s="810"/>
      <c r="W482" s="842"/>
      <c r="X482" s="840"/>
      <c r="Y482" s="25">
        <f t="shared" si="171"/>
        <v>0</v>
      </c>
    </row>
    <row r="483" spans="1:25">
      <c r="A483" s="796">
        <f t="shared" si="167"/>
        <v>25</v>
      </c>
      <c r="B483" s="297" t="s">
        <v>1133</v>
      </c>
      <c r="C483" s="25">
        <f t="shared" si="161"/>
        <v>3236506</v>
      </c>
      <c r="D483" s="797">
        <f t="shared" si="179"/>
        <v>822804.36099333735</v>
      </c>
      <c r="E483" s="797">
        <f t="shared" si="179"/>
        <v>269022.36018574599</v>
      </c>
      <c r="F483" s="797">
        <f t="shared" si="179"/>
        <v>322188.57258227339</v>
      </c>
      <c r="G483" s="797">
        <f t="shared" si="179"/>
        <v>372148.19301433477</v>
      </c>
      <c r="H483" s="797">
        <f t="shared" si="179"/>
        <v>0</v>
      </c>
      <c r="I483" s="25">
        <f t="shared" si="163"/>
        <v>5022669.4867756916</v>
      </c>
      <c r="J483" s="797">
        <v>606</v>
      </c>
      <c r="K483" s="797">
        <f t="shared" si="169"/>
        <v>8288.2334765275446</v>
      </c>
      <c r="L483" s="698"/>
      <c r="M483" s="698"/>
      <c r="N483" s="192" t="s">
        <v>1460</v>
      </c>
      <c r="O483" s="810">
        <f t="shared" si="164"/>
        <v>41205</v>
      </c>
      <c r="P483" s="810">
        <v>41208</v>
      </c>
      <c r="Q483" s="811" t="s">
        <v>1075</v>
      </c>
      <c r="R483" s="304">
        <f>J483/2</f>
        <v>303</v>
      </c>
      <c r="S483" s="840">
        <v>10681.538922155689</v>
      </c>
      <c r="T483" s="25">
        <f t="shared" si="170"/>
        <v>3236506</v>
      </c>
      <c r="U483" s="452"/>
      <c r="V483" s="810"/>
      <c r="W483" s="842"/>
      <c r="X483" s="840"/>
      <c r="Y483" s="25">
        <f t="shared" si="171"/>
        <v>0</v>
      </c>
    </row>
    <row r="484" spans="1:25">
      <c r="A484" s="796">
        <f t="shared" si="167"/>
        <v>26</v>
      </c>
      <c r="B484" s="297" t="s">
        <v>1121</v>
      </c>
      <c r="C484" s="25">
        <f t="shared" si="161"/>
        <v>4576500</v>
      </c>
      <c r="D484" s="797">
        <f t="shared" si="179"/>
        <v>1355047.445992328</v>
      </c>
      <c r="E484" s="797">
        <f t="shared" si="179"/>
        <v>443043.42486035399</v>
      </c>
      <c r="F484" s="797">
        <f t="shared" si="179"/>
        <v>530600.9825694866</v>
      </c>
      <c r="G484" s="797">
        <f t="shared" si="179"/>
        <v>612877.71720842598</v>
      </c>
      <c r="H484" s="797">
        <f t="shared" si="179"/>
        <v>0</v>
      </c>
      <c r="I484" s="25">
        <f t="shared" si="163"/>
        <v>7518069.5706305951</v>
      </c>
      <c r="J484" s="797">
        <v>998</v>
      </c>
      <c r="K484" s="797">
        <f t="shared" si="169"/>
        <v>7533.1358423152251</v>
      </c>
      <c r="L484" s="698"/>
      <c r="M484" s="698"/>
      <c r="N484" s="192" t="s">
        <v>1298</v>
      </c>
      <c r="O484" s="810">
        <f t="shared" si="164"/>
        <v>41210</v>
      </c>
      <c r="P484" s="810">
        <v>41213</v>
      </c>
      <c r="Q484" s="811" t="s">
        <v>1076</v>
      </c>
      <c r="R484" s="304">
        <v>250</v>
      </c>
      <c r="S484" s="840">
        <v>18306</v>
      </c>
      <c r="T484" s="25">
        <f t="shared" si="170"/>
        <v>4576500</v>
      </c>
      <c r="U484" s="452"/>
      <c r="V484" s="810"/>
      <c r="W484" s="842"/>
      <c r="X484" s="840"/>
      <c r="Y484" s="25">
        <f t="shared" si="171"/>
        <v>0</v>
      </c>
    </row>
    <row r="485" spans="1:25">
      <c r="A485" s="796">
        <f t="shared" si="167"/>
        <v>27</v>
      </c>
      <c r="B485" s="297" t="s">
        <v>1132</v>
      </c>
      <c r="C485" s="25">
        <f t="shared" si="161"/>
        <v>1528800</v>
      </c>
      <c r="D485" s="797">
        <f t="shared" si="179"/>
        <v>271552.59438724007</v>
      </c>
      <c r="E485" s="797">
        <f t="shared" si="179"/>
        <v>88786.257487044888</v>
      </c>
      <c r="F485" s="797">
        <f t="shared" si="179"/>
        <v>106332.86223837406</v>
      </c>
      <c r="G485" s="797">
        <f t="shared" si="179"/>
        <v>122821.18581331181</v>
      </c>
      <c r="H485" s="797">
        <f t="shared" si="179"/>
        <v>0</v>
      </c>
      <c r="I485" s="25">
        <f t="shared" si="163"/>
        <v>2118292.8999259709</v>
      </c>
      <c r="J485" s="797">
        <v>200</v>
      </c>
      <c r="K485" s="797">
        <f t="shared" si="169"/>
        <v>10591.464499629854</v>
      </c>
      <c r="L485" s="698"/>
      <c r="M485" s="698"/>
      <c r="N485" s="192" t="s">
        <v>1462</v>
      </c>
      <c r="O485" s="810">
        <f t="shared" si="164"/>
        <v>41210</v>
      </c>
      <c r="P485" s="810">
        <v>41213</v>
      </c>
      <c r="Q485" s="811" t="s">
        <v>1076</v>
      </c>
      <c r="R485" s="304">
        <f>J485/2</f>
        <v>100</v>
      </c>
      <c r="S485" s="832">
        <v>15288</v>
      </c>
      <c r="T485" s="25">
        <f t="shared" si="170"/>
        <v>1528800</v>
      </c>
      <c r="U485" s="452"/>
      <c r="V485" s="810"/>
      <c r="W485" s="842"/>
      <c r="X485" s="840"/>
      <c r="Y485" s="25">
        <f t="shared" si="171"/>
        <v>0</v>
      </c>
    </row>
    <row r="486" spans="1:25">
      <c r="A486" s="796">
        <f t="shared" si="167"/>
        <v>28</v>
      </c>
      <c r="B486" s="297" t="s">
        <v>1077</v>
      </c>
      <c r="C486" s="25">
        <f t="shared" si="161"/>
        <v>915700</v>
      </c>
      <c r="D486" s="797">
        <f t="shared" si="179"/>
        <v>135776.29719362003</v>
      </c>
      <c r="E486" s="797">
        <f t="shared" si="179"/>
        <v>44393.128743522444</v>
      </c>
      <c r="F486" s="797">
        <f t="shared" si="179"/>
        <v>53166.431119187029</v>
      </c>
      <c r="G486" s="797">
        <f t="shared" si="179"/>
        <v>61410.592906655904</v>
      </c>
      <c r="H486" s="797">
        <f t="shared" si="179"/>
        <v>0</v>
      </c>
      <c r="I486" s="25">
        <f t="shared" si="163"/>
        <v>1210446.4499629855</v>
      </c>
      <c r="J486" s="797">
        <v>100</v>
      </c>
      <c r="K486" s="797">
        <f t="shared" si="169"/>
        <v>12104.464499629854</v>
      </c>
      <c r="L486" s="698"/>
      <c r="M486" s="698"/>
      <c r="N486" s="192" t="s">
        <v>1355</v>
      </c>
      <c r="O486" s="810">
        <f t="shared" si="164"/>
        <v>41210</v>
      </c>
      <c r="P486" s="810">
        <v>41213</v>
      </c>
      <c r="Q486" s="811" t="s">
        <v>1078</v>
      </c>
      <c r="R486" s="304">
        <v>50</v>
      </c>
      <c r="S486" s="840">
        <v>18314</v>
      </c>
      <c r="T486" s="25">
        <f t="shared" si="170"/>
        <v>915700</v>
      </c>
      <c r="U486" s="452"/>
      <c r="V486" s="810"/>
      <c r="W486" s="842"/>
      <c r="X486" s="840"/>
      <c r="Y486" s="25">
        <f t="shared" si="171"/>
        <v>0</v>
      </c>
    </row>
    <row r="487" spans="1:25">
      <c r="A487" s="796">
        <f t="shared" si="167"/>
        <v>29</v>
      </c>
      <c r="B487" s="297" t="s">
        <v>1080</v>
      </c>
      <c r="C487" s="25">
        <f t="shared" si="161"/>
        <v>915700</v>
      </c>
      <c r="D487" s="797">
        <f t="shared" si="179"/>
        <v>135776.29719362003</v>
      </c>
      <c r="E487" s="797">
        <f t="shared" si="179"/>
        <v>44393.128743522444</v>
      </c>
      <c r="F487" s="797">
        <f t="shared" si="179"/>
        <v>53166.431119187029</v>
      </c>
      <c r="G487" s="797">
        <f t="shared" si="179"/>
        <v>61410.592906655904</v>
      </c>
      <c r="H487" s="797">
        <f t="shared" si="179"/>
        <v>0</v>
      </c>
      <c r="I487" s="25">
        <f t="shared" si="163"/>
        <v>1210446.4499629855</v>
      </c>
      <c r="J487" s="797">
        <v>100</v>
      </c>
      <c r="K487" s="797">
        <f t="shared" si="169"/>
        <v>12104.464499629854</v>
      </c>
      <c r="L487" s="698"/>
      <c r="M487" s="698"/>
      <c r="N487" s="192" t="s">
        <v>1355</v>
      </c>
      <c r="O487" s="810">
        <f t="shared" si="164"/>
        <v>41210</v>
      </c>
      <c r="P487" s="810">
        <v>41213</v>
      </c>
      <c r="Q487" s="811" t="s">
        <v>1078</v>
      </c>
      <c r="R487" s="304">
        <v>50</v>
      </c>
      <c r="S487" s="840">
        <v>18314</v>
      </c>
      <c r="T487" s="25">
        <f t="shared" si="170"/>
        <v>915700</v>
      </c>
      <c r="U487" s="452"/>
      <c r="V487" s="810"/>
      <c r="W487" s="842"/>
      <c r="X487" s="840"/>
      <c r="Y487" s="25">
        <f t="shared" si="171"/>
        <v>0</v>
      </c>
    </row>
    <row r="488" spans="1:25">
      <c r="A488" s="796">
        <f t="shared" si="167"/>
        <v>30</v>
      </c>
      <c r="B488" s="297" t="s">
        <v>1081</v>
      </c>
      <c r="C488" s="25">
        <f t="shared" si="161"/>
        <v>915700</v>
      </c>
      <c r="D488" s="797">
        <f t="shared" si="179"/>
        <v>135776.29719362003</v>
      </c>
      <c r="E488" s="797">
        <f t="shared" si="179"/>
        <v>44393.128743522444</v>
      </c>
      <c r="F488" s="797">
        <f t="shared" si="179"/>
        <v>53166.431119187029</v>
      </c>
      <c r="G488" s="797">
        <f t="shared" si="179"/>
        <v>61410.592906655904</v>
      </c>
      <c r="H488" s="797">
        <f t="shared" si="179"/>
        <v>0</v>
      </c>
      <c r="I488" s="25">
        <f t="shared" si="163"/>
        <v>1210446.4499629855</v>
      </c>
      <c r="J488" s="797">
        <v>100</v>
      </c>
      <c r="K488" s="797">
        <f t="shared" si="169"/>
        <v>12104.464499629854</v>
      </c>
      <c r="L488" s="698"/>
      <c r="M488" s="698"/>
      <c r="N488" s="192" t="s">
        <v>1355</v>
      </c>
      <c r="O488" s="810">
        <f t="shared" si="164"/>
        <v>41210</v>
      </c>
      <c r="P488" s="810">
        <v>41213</v>
      </c>
      <c r="Q488" s="811" t="s">
        <v>1078</v>
      </c>
      <c r="R488" s="304">
        <v>50</v>
      </c>
      <c r="S488" s="840">
        <v>18314</v>
      </c>
      <c r="T488" s="25">
        <f t="shared" si="170"/>
        <v>915700</v>
      </c>
      <c r="U488" s="452"/>
      <c r="V488" s="810"/>
      <c r="W488" s="842"/>
      <c r="X488" s="840"/>
      <c r="Y488" s="25">
        <f t="shared" si="171"/>
        <v>0</v>
      </c>
    </row>
    <row r="489" spans="1:25">
      <c r="A489" s="796">
        <f t="shared" si="167"/>
        <v>31</v>
      </c>
      <c r="B489" s="297" t="s">
        <v>1082</v>
      </c>
      <c r="C489" s="25">
        <f t="shared" si="161"/>
        <v>1855900</v>
      </c>
      <c r="D489" s="797">
        <f t="shared" ref="D489:H498" si="181">IF($J$523&lt;&gt;0,D$523/$J$523*$J489,0)</f>
        <v>271552.59438724007</v>
      </c>
      <c r="E489" s="797">
        <f t="shared" si="181"/>
        <v>88786.257487044888</v>
      </c>
      <c r="F489" s="797">
        <f t="shared" si="181"/>
        <v>106332.86223837406</v>
      </c>
      <c r="G489" s="797">
        <f t="shared" si="181"/>
        <v>122821.18581331181</v>
      </c>
      <c r="H489" s="797">
        <f t="shared" si="181"/>
        <v>0</v>
      </c>
      <c r="I489" s="25">
        <f t="shared" si="163"/>
        <v>2445392.8999259709</v>
      </c>
      <c r="J489" s="797">
        <v>200</v>
      </c>
      <c r="K489" s="797">
        <f t="shared" si="169"/>
        <v>12226.964499629854</v>
      </c>
      <c r="L489" s="698"/>
      <c r="M489" s="698"/>
      <c r="N489" s="192" t="s">
        <v>1266</v>
      </c>
      <c r="O489" s="810">
        <f t="shared" si="164"/>
        <v>41210</v>
      </c>
      <c r="P489" s="810">
        <v>41213</v>
      </c>
      <c r="Q489" s="811" t="s">
        <v>1078</v>
      </c>
      <c r="R489" s="8">
        <v>100</v>
      </c>
      <c r="S489" s="840">
        <v>18559</v>
      </c>
      <c r="T489" s="25">
        <f t="shared" si="170"/>
        <v>1855900</v>
      </c>
      <c r="U489" s="452"/>
      <c r="V489" s="810"/>
      <c r="W489" s="842"/>
      <c r="X489" s="840"/>
      <c r="Y489" s="25">
        <f t="shared" si="171"/>
        <v>0</v>
      </c>
    </row>
    <row r="490" spans="1:25">
      <c r="A490" s="796">
        <f t="shared" si="167"/>
        <v>32</v>
      </c>
      <c r="B490" s="297" t="s">
        <v>1083</v>
      </c>
      <c r="C490" s="25">
        <f t="shared" si="161"/>
        <v>898900</v>
      </c>
      <c r="D490" s="797">
        <f t="shared" si="181"/>
        <v>135776.29719362003</v>
      </c>
      <c r="E490" s="797">
        <f t="shared" si="181"/>
        <v>44393.128743522444</v>
      </c>
      <c r="F490" s="797">
        <f t="shared" si="181"/>
        <v>53166.431119187029</v>
      </c>
      <c r="G490" s="797">
        <f t="shared" si="181"/>
        <v>61410.592906655904</v>
      </c>
      <c r="H490" s="797">
        <f t="shared" si="181"/>
        <v>0</v>
      </c>
      <c r="I490" s="25">
        <f t="shared" si="163"/>
        <v>1193646.4499629855</v>
      </c>
      <c r="J490" s="797">
        <v>100</v>
      </c>
      <c r="K490" s="797">
        <f t="shared" si="169"/>
        <v>11936.464499629854</v>
      </c>
      <c r="L490" s="698"/>
      <c r="M490" s="698"/>
      <c r="N490" s="192" t="s">
        <v>1342</v>
      </c>
      <c r="O490" s="810">
        <f t="shared" si="164"/>
        <v>41210</v>
      </c>
      <c r="P490" s="810">
        <v>41213</v>
      </c>
      <c r="Q490" s="811" t="s">
        <v>1078</v>
      </c>
      <c r="R490" s="304">
        <v>100</v>
      </c>
      <c r="S490" s="840">
        <v>8989</v>
      </c>
      <c r="T490" s="25">
        <f t="shared" si="170"/>
        <v>898900</v>
      </c>
      <c r="U490" s="452"/>
      <c r="V490" s="810"/>
      <c r="W490" s="842"/>
      <c r="X490" s="840"/>
      <c r="Y490" s="25">
        <f t="shared" si="171"/>
        <v>0</v>
      </c>
    </row>
    <row r="491" spans="1:25">
      <c r="A491" s="796">
        <f t="shared" si="167"/>
        <v>33</v>
      </c>
      <c r="B491" s="297" t="s">
        <v>1084</v>
      </c>
      <c r="C491" s="25">
        <f t="shared" si="161"/>
        <v>1844300</v>
      </c>
      <c r="D491" s="797">
        <f t="shared" si="181"/>
        <v>271552.59438724007</v>
      </c>
      <c r="E491" s="797">
        <f t="shared" si="181"/>
        <v>88786.257487044888</v>
      </c>
      <c r="F491" s="797">
        <f t="shared" si="181"/>
        <v>106332.86223837406</v>
      </c>
      <c r="G491" s="797">
        <f t="shared" si="181"/>
        <v>122821.18581331181</v>
      </c>
      <c r="H491" s="797">
        <f t="shared" si="181"/>
        <v>0</v>
      </c>
      <c r="I491" s="25">
        <f t="shared" si="163"/>
        <v>2433792.8999259709</v>
      </c>
      <c r="J491" s="797">
        <v>200</v>
      </c>
      <c r="K491" s="797">
        <f t="shared" si="169"/>
        <v>12168.964499629854</v>
      </c>
      <c r="L491" s="698"/>
      <c r="M491" s="698"/>
      <c r="N491" s="192" t="s">
        <v>1331</v>
      </c>
      <c r="O491" s="810">
        <f t="shared" si="164"/>
        <v>41210</v>
      </c>
      <c r="P491" s="810">
        <v>41213</v>
      </c>
      <c r="Q491" s="811" t="s">
        <v>1078</v>
      </c>
      <c r="R491" s="304">
        <v>100</v>
      </c>
      <c r="S491" s="840">
        <v>18443</v>
      </c>
      <c r="T491" s="25">
        <f t="shared" si="170"/>
        <v>1844300</v>
      </c>
      <c r="U491" s="452"/>
      <c r="V491" s="810"/>
      <c r="W491" s="842"/>
      <c r="X491" s="840"/>
      <c r="Y491" s="25">
        <f t="shared" si="171"/>
        <v>0</v>
      </c>
    </row>
    <row r="492" spans="1:25">
      <c r="A492" s="796">
        <f t="shared" si="167"/>
        <v>34</v>
      </c>
      <c r="B492" s="297" t="s">
        <v>1118</v>
      </c>
      <c r="C492" s="25">
        <f t="shared" si="161"/>
        <v>3601260</v>
      </c>
      <c r="D492" s="797">
        <f t="shared" si="181"/>
        <v>2198218.2515647081</v>
      </c>
      <c r="E492" s="797">
        <f t="shared" si="181"/>
        <v>718724.75435762829</v>
      </c>
      <c r="F492" s="797">
        <f t="shared" si="181"/>
        <v>860764.51981963799</v>
      </c>
      <c r="G492" s="797">
        <f t="shared" si="181"/>
        <v>994237.49915875914</v>
      </c>
      <c r="H492" s="797">
        <f t="shared" si="181"/>
        <v>0</v>
      </c>
      <c r="I492" s="25">
        <f t="shared" si="163"/>
        <v>8373205.0249007326</v>
      </c>
      <c r="J492" s="797">
        <v>1619</v>
      </c>
      <c r="K492" s="797">
        <f t="shared" si="169"/>
        <v>5171.8375694260239</v>
      </c>
      <c r="L492" s="698"/>
      <c r="M492" s="698"/>
      <c r="N492" s="192" t="s">
        <v>898</v>
      </c>
      <c r="O492" s="810">
        <f t="shared" si="164"/>
        <v>41223</v>
      </c>
      <c r="P492" s="810">
        <v>41226</v>
      </c>
      <c r="Q492" s="811" t="s">
        <v>1085</v>
      </c>
      <c r="R492" s="8">
        <v>270</v>
      </c>
      <c r="S492" s="840">
        <v>13338</v>
      </c>
      <c r="T492" s="25">
        <f t="shared" si="170"/>
        <v>3601260</v>
      </c>
      <c r="U492" s="452"/>
      <c r="V492" s="810"/>
      <c r="W492" s="842"/>
      <c r="X492" s="840"/>
      <c r="Y492" s="25">
        <f t="shared" si="171"/>
        <v>0</v>
      </c>
    </row>
    <row r="493" spans="1:25">
      <c r="A493" s="796">
        <f t="shared" si="167"/>
        <v>35</v>
      </c>
      <c r="B493" s="297" t="s">
        <v>1131</v>
      </c>
      <c r="C493" s="25">
        <f t="shared" si="161"/>
        <v>5583330</v>
      </c>
      <c r="D493" s="797">
        <f t="shared" si="181"/>
        <v>825519.88693720975</v>
      </c>
      <c r="E493" s="797">
        <f t="shared" si="181"/>
        <v>269910.22276061645</v>
      </c>
      <c r="F493" s="797">
        <f t="shared" si="181"/>
        <v>323251.90120465716</v>
      </c>
      <c r="G493" s="797">
        <f t="shared" si="181"/>
        <v>373376.40487246792</v>
      </c>
      <c r="H493" s="797">
        <f t="shared" si="181"/>
        <v>0</v>
      </c>
      <c r="I493" s="25">
        <f t="shared" si="163"/>
        <v>7375388.4157749508</v>
      </c>
      <c r="J493" s="797">
        <v>608</v>
      </c>
      <c r="K493" s="797">
        <f t="shared" si="169"/>
        <v>12130.573052261432</v>
      </c>
      <c r="L493" s="698"/>
      <c r="M493" s="698"/>
      <c r="N493" s="192" t="s">
        <v>1298</v>
      </c>
      <c r="O493" s="810">
        <f t="shared" si="164"/>
        <v>41223</v>
      </c>
      <c r="P493" s="810">
        <v>41226</v>
      </c>
      <c r="Q493" s="811" t="s">
        <v>1085</v>
      </c>
      <c r="R493" s="304">
        <v>305</v>
      </c>
      <c r="S493" s="840">
        <v>18306</v>
      </c>
      <c r="T493" s="25">
        <f t="shared" si="170"/>
        <v>5583330</v>
      </c>
      <c r="U493" s="452"/>
      <c r="V493" s="810"/>
      <c r="W493" s="842"/>
      <c r="X493" s="840"/>
      <c r="Y493" s="25">
        <f t="shared" si="171"/>
        <v>0</v>
      </c>
    </row>
    <row r="494" spans="1:25">
      <c r="A494" s="796">
        <f t="shared" si="167"/>
        <v>36</v>
      </c>
      <c r="B494" s="297" t="s">
        <v>1117</v>
      </c>
      <c r="C494" s="25">
        <f t="shared" ref="C494:C508" si="182">T494</f>
        <v>3749200</v>
      </c>
      <c r="D494" s="797">
        <f t="shared" si="181"/>
        <v>817373.30910559255</v>
      </c>
      <c r="E494" s="797">
        <f t="shared" si="181"/>
        <v>267246.63503600511</v>
      </c>
      <c r="F494" s="797">
        <f t="shared" si="181"/>
        <v>320061.91533750592</v>
      </c>
      <c r="G494" s="797">
        <f t="shared" si="181"/>
        <v>369691.76929806854</v>
      </c>
      <c r="H494" s="797">
        <f t="shared" si="181"/>
        <v>0</v>
      </c>
      <c r="I494" s="25">
        <f t="shared" ref="I494:I508" si="183">SUM(C494:H494)</f>
        <v>5523573.6287771715</v>
      </c>
      <c r="J494" s="797">
        <v>602</v>
      </c>
      <c r="K494" s="797">
        <f t="shared" ref="K494:K508" si="184">IF(J494&lt;&gt;"",I494/J494,"")</f>
        <v>9175.371476374039</v>
      </c>
      <c r="L494" s="698"/>
      <c r="M494" s="698"/>
      <c r="N494" s="192" t="s">
        <v>1358</v>
      </c>
      <c r="O494" s="810">
        <f t="shared" si="164"/>
        <v>41223</v>
      </c>
      <c r="P494" s="810">
        <v>41226</v>
      </c>
      <c r="Q494" s="811" t="s">
        <v>1085</v>
      </c>
      <c r="R494" s="304">
        <v>200</v>
      </c>
      <c r="S494" s="840">
        <v>18746</v>
      </c>
      <c r="T494" s="25">
        <f t="shared" ref="T494:T508" si="185">ROUND(R494*S494,0)</f>
        <v>3749200</v>
      </c>
      <c r="U494" s="452"/>
      <c r="V494" s="810"/>
      <c r="W494" s="842"/>
      <c r="X494" s="840"/>
      <c r="Y494" s="25">
        <f t="shared" ref="Y494:Y508" si="186">ROUND(W494*X494,0)</f>
        <v>0</v>
      </c>
    </row>
    <row r="495" spans="1:25">
      <c r="A495" s="796">
        <f t="shared" si="167"/>
        <v>37</v>
      </c>
      <c r="B495" s="297" t="s">
        <v>1121</v>
      </c>
      <c r="C495" s="25">
        <f t="shared" si="182"/>
        <v>2324862</v>
      </c>
      <c r="D495" s="797">
        <f t="shared" si="181"/>
        <v>687028.06379971735</v>
      </c>
      <c r="E495" s="797">
        <f t="shared" si="181"/>
        <v>224629.23144222356</v>
      </c>
      <c r="F495" s="797">
        <f t="shared" si="181"/>
        <v>269022.14146308636</v>
      </c>
      <c r="G495" s="797">
        <f t="shared" si="181"/>
        <v>310737.60010767885</v>
      </c>
      <c r="H495" s="797">
        <f t="shared" si="181"/>
        <v>0</v>
      </c>
      <c r="I495" s="25">
        <f t="shared" si="183"/>
        <v>3816279.0368127064</v>
      </c>
      <c r="J495" s="797">
        <v>506</v>
      </c>
      <c r="K495" s="797">
        <f t="shared" si="184"/>
        <v>7542.0534324361788</v>
      </c>
      <c r="L495" s="698"/>
      <c r="M495" s="698"/>
      <c r="N495" s="192" t="s">
        <v>1298</v>
      </c>
      <c r="O495" s="810">
        <f t="shared" si="164"/>
        <v>41225</v>
      </c>
      <c r="P495" s="810">
        <v>41228</v>
      </c>
      <c r="Q495" s="811" t="s">
        <v>1086</v>
      </c>
      <c r="R495" s="304">
        <v>127</v>
      </c>
      <c r="S495" s="840">
        <v>18306</v>
      </c>
      <c r="T495" s="25">
        <f t="shared" si="185"/>
        <v>2324862</v>
      </c>
      <c r="U495" s="452"/>
      <c r="V495" s="810"/>
      <c r="W495" s="842"/>
      <c r="X495" s="840"/>
      <c r="Y495" s="25">
        <f t="shared" si="186"/>
        <v>0</v>
      </c>
    </row>
    <row r="496" spans="1:25">
      <c r="A496" s="796">
        <f t="shared" si="167"/>
        <v>38</v>
      </c>
      <c r="B496" s="297" t="s">
        <v>1130</v>
      </c>
      <c r="C496" s="25">
        <f t="shared" si="182"/>
        <v>37372</v>
      </c>
      <c r="D496" s="797">
        <f t="shared" si="181"/>
        <v>142565.11205330104</v>
      </c>
      <c r="E496" s="797">
        <f t="shared" si="181"/>
        <v>46612.785180698564</v>
      </c>
      <c r="F496" s="797">
        <f t="shared" si="181"/>
        <v>55824.752675146381</v>
      </c>
      <c r="G496" s="797">
        <f t="shared" si="181"/>
        <v>64481.122551988701</v>
      </c>
      <c r="H496" s="797">
        <f t="shared" si="181"/>
        <v>0</v>
      </c>
      <c r="I496" s="25">
        <f t="shared" si="183"/>
        <v>346855.77246113465</v>
      </c>
      <c r="J496" s="797">
        <v>105</v>
      </c>
      <c r="K496" s="797">
        <f t="shared" si="184"/>
        <v>3303.3883091536632</v>
      </c>
      <c r="L496" s="698"/>
      <c r="M496" s="698"/>
      <c r="N496" s="192" t="s">
        <v>1337</v>
      </c>
      <c r="O496" s="810">
        <f t="shared" si="164"/>
        <v>41225</v>
      </c>
      <c r="P496" s="810">
        <v>41228</v>
      </c>
      <c r="Q496" s="811" t="s">
        <v>1086</v>
      </c>
      <c r="R496" s="304">
        <v>2.75</v>
      </c>
      <c r="S496" s="840">
        <v>13589.818181818182</v>
      </c>
      <c r="T496" s="25">
        <f t="shared" si="185"/>
        <v>37372</v>
      </c>
      <c r="U496" s="452"/>
      <c r="V496" s="810"/>
      <c r="W496" s="842"/>
      <c r="X496" s="840"/>
      <c r="Y496" s="25">
        <f t="shared" si="186"/>
        <v>0</v>
      </c>
    </row>
    <row r="497" spans="1:25">
      <c r="A497" s="796">
        <f t="shared" si="167"/>
        <v>39</v>
      </c>
      <c r="B497" s="297" t="s">
        <v>1114</v>
      </c>
      <c r="C497" s="25">
        <f t="shared" si="182"/>
        <v>10049437</v>
      </c>
      <c r="D497" s="797">
        <f t="shared" si="181"/>
        <v>1364551.7867958813</v>
      </c>
      <c r="E497" s="797">
        <f t="shared" si="181"/>
        <v>446150.94387240056</v>
      </c>
      <c r="F497" s="797">
        <f t="shared" si="181"/>
        <v>534322.63274782966</v>
      </c>
      <c r="G497" s="797">
        <f t="shared" si="181"/>
        <v>617176.45871189178</v>
      </c>
      <c r="H497" s="797">
        <f t="shared" si="181"/>
        <v>0</v>
      </c>
      <c r="I497" s="25">
        <f t="shared" si="183"/>
        <v>13011638.822128002</v>
      </c>
      <c r="J497" s="797">
        <v>1005</v>
      </c>
      <c r="K497" s="797">
        <f t="shared" si="184"/>
        <v>12946.904300624878</v>
      </c>
      <c r="L497" s="698"/>
      <c r="M497" s="698"/>
      <c r="N497" s="40" t="s">
        <v>1363</v>
      </c>
      <c r="O497" s="810">
        <f t="shared" si="164"/>
        <v>41225</v>
      </c>
      <c r="P497" s="810">
        <v>41228</v>
      </c>
      <c r="Q497" s="811" t="s">
        <v>1087</v>
      </c>
      <c r="R497" s="304">
        <v>503</v>
      </c>
      <c r="S497" s="840">
        <v>19979</v>
      </c>
      <c r="T497" s="25">
        <f t="shared" si="185"/>
        <v>10049437</v>
      </c>
      <c r="U497" s="452"/>
      <c r="V497" s="810"/>
      <c r="W497" s="842"/>
      <c r="X497" s="840"/>
      <c r="Y497" s="25">
        <f t="shared" si="186"/>
        <v>0</v>
      </c>
    </row>
    <row r="498" spans="1:25">
      <c r="A498" s="796">
        <f t="shared" si="167"/>
        <v>40</v>
      </c>
      <c r="B498" s="297" t="s">
        <v>1129</v>
      </c>
      <c r="C498" s="25">
        <f t="shared" si="182"/>
        <v>1681680</v>
      </c>
      <c r="D498" s="797">
        <f t="shared" si="181"/>
        <v>298707.85382596409</v>
      </c>
      <c r="E498" s="797">
        <f t="shared" si="181"/>
        <v>97664.883235749367</v>
      </c>
      <c r="F498" s="797">
        <f t="shared" si="181"/>
        <v>116966.14846221147</v>
      </c>
      <c r="G498" s="797">
        <f t="shared" si="181"/>
        <v>135103.304394643</v>
      </c>
      <c r="H498" s="797">
        <f t="shared" si="181"/>
        <v>0</v>
      </c>
      <c r="I498" s="25">
        <f t="shared" si="183"/>
        <v>2330122.1899185674</v>
      </c>
      <c r="J498" s="797">
        <v>220</v>
      </c>
      <c r="K498" s="797">
        <f t="shared" si="184"/>
        <v>10591.464499629852</v>
      </c>
      <c r="L498" s="698"/>
      <c r="M498" s="698"/>
      <c r="N498" s="192" t="s">
        <v>1462</v>
      </c>
      <c r="O498" s="810">
        <f t="shared" si="164"/>
        <v>41232</v>
      </c>
      <c r="P498" s="810">
        <v>41235</v>
      </c>
      <c r="Q498" s="811" t="s">
        <v>1088</v>
      </c>
      <c r="R498" s="304">
        <f>J498/2</f>
        <v>110</v>
      </c>
      <c r="S498" s="832">
        <v>15288</v>
      </c>
      <c r="T498" s="25">
        <f t="shared" si="185"/>
        <v>1681680</v>
      </c>
      <c r="U498" s="452"/>
      <c r="V498" s="810"/>
      <c r="W498" s="842"/>
      <c r="X498" s="840"/>
      <c r="Y498" s="25">
        <f t="shared" si="186"/>
        <v>0</v>
      </c>
    </row>
    <row r="499" spans="1:25">
      <c r="A499" s="796">
        <f t="shared" si="167"/>
        <v>41</v>
      </c>
      <c r="B499" s="297" t="s">
        <v>1128</v>
      </c>
      <c r="C499" s="25">
        <f t="shared" si="182"/>
        <v>2524000</v>
      </c>
      <c r="D499" s="797">
        <f t="shared" ref="D499:H508" si="187">IF($J$523&lt;&gt;0,D$523/$J$523*$J499,0)</f>
        <v>350302.84675953968</v>
      </c>
      <c r="E499" s="797">
        <f t="shared" si="187"/>
        <v>114534.2721582879</v>
      </c>
      <c r="F499" s="797">
        <f t="shared" si="187"/>
        <v>137169.39228750253</v>
      </c>
      <c r="G499" s="797">
        <f t="shared" si="187"/>
        <v>158439.32969917223</v>
      </c>
      <c r="H499" s="797">
        <f t="shared" si="187"/>
        <v>0</v>
      </c>
      <c r="I499" s="25">
        <f t="shared" si="183"/>
        <v>3284445.8409045022</v>
      </c>
      <c r="J499" s="797">
        <v>258</v>
      </c>
      <c r="K499" s="797">
        <f t="shared" si="184"/>
        <v>12730.410236063963</v>
      </c>
      <c r="L499" s="698"/>
      <c r="M499" s="698"/>
      <c r="N499" s="192" t="s">
        <v>1301</v>
      </c>
      <c r="O499" s="810">
        <f t="shared" si="164"/>
        <v>41232</v>
      </c>
      <c r="P499" s="810">
        <v>41235</v>
      </c>
      <c r="Q499" s="811" t="s">
        <v>1088</v>
      </c>
      <c r="R499" s="304">
        <v>100</v>
      </c>
      <c r="S499" s="840">
        <v>25240</v>
      </c>
      <c r="T499" s="25">
        <f t="shared" si="185"/>
        <v>2524000</v>
      </c>
      <c r="U499" s="452"/>
      <c r="V499" s="810"/>
      <c r="W499" s="842"/>
      <c r="X499" s="840"/>
      <c r="Y499" s="25">
        <f t="shared" si="186"/>
        <v>0</v>
      </c>
    </row>
    <row r="500" spans="1:25">
      <c r="A500" s="796">
        <f t="shared" si="167"/>
        <v>42</v>
      </c>
      <c r="B500" s="297" t="s">
        <v>1127</v>
      </c>
      <c r="C500" s="25">
        <f t="shared" si="182"/>
        <v>2349750</v>
      </c>
      <c r="D500" s="797">
        <f t="shared" si="187"/>
        <v>400540.07672117907</v>
      </c>
      <c r="E500" s="797">
        <f t="shared" si="187"/>
        <v>130959.72979339121</v>
      </c>
      <c r="F500" s="797">
        <f t="shared" si="187"/>
        <v>156840.97180160173</v>
      </c>
      <c r="G500" s="797">
        <f t="shared" si="187"/>
        <v>181161.24907463492</v>
      </c>
      <c r="H500" s="797">
        <f t="shared" si="187"/>
        <v>0</v>
      </c>
      <c r="I500" s="25">
        <f t="shared" si="183"/>
        <v>3219252.0273908074</v>
      </c>
      <c r="J500" s="797">
        <v>295</v>
      </c>
      <c r="K500" s="797">
        <f t="shared" si="184"/>
        <v>10912.718736917992</v>
      </c>
      <c r="L500" s="698"/>
      <c r="M500" s="698"/>
      <c r="N500" s="192" t="s">
        <v>1343</v>
      </c>
      <c r="O500" s="810">
        <f t="shared" si="164"/>
        <v>41232</v>
      </c>
      <c r="P500" s="810">
        <v>41235</v>
      </c>
      <c r="Q500" s="811" t="s">
        <v>1088</v>
      </c>
      <c r="R500" s="304">
        <v>150</v>
      </c>
      <c r="S500" s="840">
        <v>15665</v>
      </c>
      <c r="T500" s="25">
        <f t="shared" si="185"/>
        <v>2349750</v>
      </c>
      <c r="U500" s="452"/>
      <c r="V500" s="810"/>
      <c r="W500" s="842"/>
      <c r="X500" s="840"/>
      <c r="Y500" s="25">
        <f t="shared" si="186"/>
        <v>0</v>
      </c>
    </row>
    <row r="501" spans="1:25">
      <c r="A501" s="796">
        <f>IF(B501&lt;&gt;"",A500+1,"")</f>
        <v>43</v>
      </c>
      <c r="B501" s="297" t="s">
        <v>1126</v>
      </c>
      <c r="C501" s="25">
        <f t="shared" si="182"/>
        <v>2592000</v>
      </c>
      <c r="D501" s="797">
        <f t="shared" si="187"/>
        <v>403255.60266505147</v>
      </c>
      <c r="E501" s="797">
        <f t="shared" si="187"/>
        <v>131847.59236826166</v>
      </c>
      <c r="F501" s="797">
        <f t="shared" si="187"/>
        <v>157904.30042398549</v>
      </c>
      <c r="G501" s="797">
        <f t="shared" si="187"/>
        <v>182389.46093276804</v>
      </c>
      <c r="H501" s="797">
        <f t="shared" si="187"/>
        <v>0</v>
      </c>
      <c r="I501" s="25">
        <f t="shared" si="183"/>
        <v>3467396.9563900661</v>
      </c>
      <c r="J501" s="797">
        <v>297</v>
      </c>
      <c r="K501" s="797">
        <f t="shared" si="184"/>
        <v>11674.73722690258</v>
      </c>
      <c r="L501" s="698"/>
      <c r="M501" s="698"/>
      <c r="N501" s="192" t="s">
        <v>733</v>
      </c>
      <c r="O501" s="810">
        <f t="shared" si="164"/>
        <v>41232</v>
      </c>
      <c r="P501" s="810">
        <v>41235</v>
      </c>
      <c r="Q501" s="811" t="s">
        <v>1088</v>
      </c>
      <c r="R501" s="304">
        <v>300</v>
      </c>
      <c r="S501" s="840">
        <v>8640</v>
      </c>
      <c r="T501" s="25">
        <f t="shared" si="185"/>
        <v>2592000</v>
      </c>
      <c r="U501" s="452"/>
      <c r="V501" s="810"/>
      <c r="W501" s="842"/>
      <c r="X501" s="840"/>
      <c r="Y501" s="25">
        <f t="shared" si="186"/>
        <v>0</v>
      </c>
    </row>
    <row r="502" spans="1:25">
      <c r="A502" s="796">
        <f t="shared" si="167"/>
        <v>44</v>
      </c>
      <c r="B502" s="297" t="s">
        <v>1125</v>
      </c>
      <c r="C502" s="25">
        <f t="shared" si="182"/>
        <v>5607808</v>
      </c>
      <c r="D502" s="797">
        <f t="shared" si="187"/>
        <v>1425651.1205330102</v>
      </c>
      <c r="E502" s="797">
        <f t="shared" si="187"/>
        <v>466127.85180698562</v>
      </c>
      <c r="F502" s="797">
        <f t="shared" si="187"/>
        <v>558247.52675146377</v>
      </c>
      <c r="G502" s="797">
        <f t="shared" si="187"/>
        <v>644811.22551988694</v>
      </c>
      <c r="H502" s="797">
        <f t="shared" si="187"/>
        <v>0</v>
      </c>
      <c r="I502" s="25">
        <f t="shared" si="183"/>
        <v>8702645.7246113457</v>
      </c>
      <c r="J502" s="797">
        <v>1050</v>
      </c>
      <c r="K502" s="797">
        <f t="shared" si="184"/>
        <v>8288.234023439376</v>
      </c>
      <c r="L502" s="698"/>
      <c r="M502" s="698"/>
      <c r="N502" s="192" t="s">
        <v>1460</v>
      </c>
      <c r="O502" s="810">
        <f t="shared" si="164"/>
        <v>41241</v>
      </c>
      <c r="P502" s="810">
        <v>41244</v>
      </c>
      <c r="Q502" s="811" t="s">
        <v>1089</v>
      </c>
      <c r="R502" s="304">
        <f>J502/2</f>
        <v>525</v>
      </c>
      <c r="S502" s="840">
        <v>10681.538922155689</v>
      </c>
      <c r="T502" s="25">
        <f t="shared" si="185"/>
        <v>5607808</v>
      </c>
      <c r="U502" s="452"/>
      <c r="V502" s="810"/>
      <c r="W502" s="842"/>
      <c r="X502" s="840"/>
      <c r="Y502" s="25">
        <f t="shared" si="186"/>
        <v>0</v>
      </c>
    </row>
    <row r="503" spans="1:25">
      <c r="A503" s="796">
        <f t="shared" si="167"/>
        <v>45</v>
      </c>
      <c r="B503" s="297" t="s">
        <v>1124</v>
      </c>
      <c r="C503" s="25">
        <f t="shared" si="182"/>
        <v>3018441</v>
      </c>
      <c r="D503" s="797">
        <f t="shared" si="187"/>
        <v>678881.48596810014</v>
      </c>
      <c r="E503" s="797">
        <f t="shared" si="187"/>
        <v>221965.6437176122</v>
      </c>
      <c r="F503" s="797">
        <f t="shared" si="187"/>
        <v>265832.15559593512</v>
      </c>
      <c r="G503" s="797">
        <f t="shared" si="187"/>
        <v>307052.96453327953</v>
      </c>
      <c r="H503" s="797">
        <f t="shared" si="187"/>
        <v>0</v>
      </c>
      <c r="I503" s="25">
        <f t="shared" si="183"/>
        <v>4492173.2498149266</v>
      </c>
      <c r="J503" s="797">
        <v>500</v>
      </c>
      <c r="K503" s="797">
        <f t="shared" si="184"/>
        <v>8984.3464996298535</v>
      </c>
      <c r="L503" s="698"/>
      <c r="M503" s="698"/>
      <c r="N503" s="192" t="s">
        <v>1288</v>
      </c>
      <c r="O503" s="810">
        <f t="shared" si="164"/>
        <v>41250</v>
      </c>
      <c r="P503" s="810">
        <v>41253</v>
      </c>
      <c r="Q503" s="811" t="s">
        <v>1090</v>
      </c>
      <c r="R503" s="304">
        <f>J503/2</f>
        <v>250</v>
      </c>
      <c r="S503" s="840">
        <v>12073.764705882353</v>
      </c>
      <c r="T503" s="25">
        <f t="shared" si="185"/>
        <v>3018441</v>
      </c>
      <c r="U503" s="452"/>
      <c r="V503" s="810"/>
      <c r="W503" s="842"/>
      <c r="X503" s="840"/>
      <c r="Y503" s="25">
        <f t="shared" si="186"/>
        <v>0</v>
      </c>
    </row>
    <row r="504" spans="1:25">
      <c r="A504" s="796">
        <f t="shared" si="167"/>
        <v>46</v>
      </c>
      <c r="B504" s="297" t="s">
        <v>1123</v>
      </c>
      <c r="C504" s="25">
        <f t="shared" si="182"/>
        <v>2859600</v>
      </c>
      <c r="D504" s="797">
        <f t="shared" si="187"/>
        <v>655799.51544518478</v>
      </c>
      <c r="E504" s="797">
        <f t="shared" si="187"/>
        <v>214418.81183121339</v>
      </c>
      <c r="F504" s="797">
        <f t="shared" si="187"/>
        <v>256793.86230567336</v>
      </c>
      <c r="G504" s="797">
        <f t="shared" si="187"/>
        <v>296613.163739148</v>
      </c>
      <c r="H504" s="797">
        <f t="shared" si="187"/>
        <v>0</v>
      </c>
      <c r="I504" s="25">
        <f t="shared" si="183"/>
        <v>4283225.3533212198</v>
      </c>
      <c r="J504" s="797">
        <v>483</v>
      </c>
      <c r="K504" s="797">
        <f t="shared" si="184"/>
        <v>8867.9613940397921</v>
      </c>
      <c r="L504" s="698"/>
      <c r="M504" s="698"/>
      <c r="N504" s="192" t="s">
        <v>1360</v>
      </c>
      <c r="O504" s="810">
        <f t="shared" si="164"/>
        <v>41250</v>
      </c>
      <c r="P504" s="810">
        <v>41253</v>
      </c>
      <c r="Q504" s="811" t="s">
        <v>1090</v>
      </c>
      <c r="R504" s="304">
        <v>100</v>
      </c>
      <c r="S504" s="293">
        <v>28596</v>
      </c>
      <c r="T504" s="25">
        <f t="shared" si="185"/>
        <v>2859600</v>
      </c>
      <c r="U504" s="452"/>
      <c r="V504" s="810"/>
      <c r="W504" s="842"/>
      <c r="X504" s="840"/>
      <c r="Y504" s="25">
        <f t="shared" si="186"/>
        <v>0</v>
      </c>
    </row>
    <row r="505" spans="1:25">
      <c r="A505" s="796">
        <f t="shared" si="167"/>
        <v>47</v>
      </c>
      <c r="B505" s="297" t="s">
        <v>1122</v>
      </c>
      <c r="C505" s="25">
        <f t="shared" si="182"/>
        <v>2377620</v>
      </c>
      <c r="D505" s="797">
        <f t="shared" si="187"/>
        <v>684312.53785584494</v>
      </c>
      <c r="E505" s="797">
        <f t="shared" si="187"/>
        <v>223741.3688673531</v>
      </c>
      <c r="F505" s="797">
        <f t="shared" si="187"/>
        <v>267958.81284070265</v>
      </c>
      <c r="G505" s="797">
        <f t="shared" si="187"/>
        <v>309509.38824954577</v>
      </c>
      <c r="H505" s="797">
        <f t="shared" si="187"/>
        <v>0</v>
      </c>
      <c r="I505" s="25">
        <f t="shared" si="183"/>
        <v>3863142.1078134463</v>
      </c>
      <c r="J505" s="797">
        <v>504</v>
      </c>
      <c r="K505" s="797">
        <f t="shared" si="184"/>
        <v>7664.9644996298539</v>
      </c>
      <c r="L505" s="698"/>
      <c r="M505" s="698"/>
      <c r="N505" s="192" t="s">
        <v>1441</v>
      </c>
      <c r="O505" s="810">
        <f t="shared" si="164"/>
        <v>41250</v>
      </c>
      <c r="P505" s="810">
        <v>41253</v>
      </c>
      <c r="Q505" s="811" t="s">
        <v>1090</v>
      </c>
      <c r="R505" s="304">
        <v>255</v>
      </c>
      <c r="S505" s="840">
        <v>9324</v>
      </c>
      <c r="T505" s="25">
        <f t="shared" si="185"/>
        <v>2377620</v>
      </c>
      <c r="U505" s="452"/>
      <c r="V505" s="810"/>
      <c r="W505" s="842"/>
      <c r="X505" s="840"/>
      <c r="Y505" s="25">
        <f t="shared" si="186"/>
        <v>0</v>
      </c>
    </row>
    <row r="506" spans="1:25">
      <c r="A506" s="796">
        <f t="shared" si="167"/>
        <v>48</v>
      </c>
      <c r="B506" s="297" t="s">
        <v>1121</v>
      </c>
      <c r="C506" s="25">
        <f t="shared" si="182"/>
        <v>2434698</v>
      </c>
      <c r="D506" s="797">
        <f t="shared" si="187"/>
        <v>719614.37512618618</v>
      </c>
      <c r="E506" s="797">
        <f t="shared" si="187"/>
        <v>235283.58234066895</v>
      </c>
      <c r="F506" s="797">
        <f t="shared" si="187"/>
        <v>281782.08493169124</v>
      </c>
      <c r="G506" s="797">
        <f t="shared" si="187"/>
        <v>325476.1424052763</v>
      </c>
      <c r="H506" s="797">
        <f t="shared" si="187"/>
        <v>0</v>
      </c>
      <c r="I506" s="25">
        <f t="shared" si="183"/>
        <v>3996854.1848038225</v>
      </c>
      <c r="J506" s="797">
        <v>530</v>
      </c>
      <c r="K506" s="797">
        <f t="shared" si="184"/>
        <v>7541.2343109506082</v>
      </c>
      <c r="L506" s="698"/>
      <c r="M506" s="698"/>
      <c r="N506" s="192" t="s">
        <v>1298</v>
      </c>
      <c r="O506" s="810">
        <f t="shared" si="164"/>
        <v>41259</v>
      </c>
      <c r="P506" s="810">
        <v>41262</v>
      </c>
      <c r="Q506" s="811" t="s">
        <v>1092</v>
      </c>
      <c r="R506" s="304">
        <v>133</v>
      </c>
      <c r="S506" s="840">
        <v>18306</v>
      </c>
      <c r="T506" s="25">
        <f t="shared" si="185"/>
        <v>2434698</v>
      </c>
      <c r="U506" s="452"/>
      <c r="V506" s="810"/>
      <c r="W506" s="842"/>
      <c r="X506" s="840"/>
      <c r="Y506" s="25">
        <f t="shared" si="186"/>
        <v>0</v>
      </c>
    </row>
    <row r="507" spans="1:25">
      <c r="A507" s="796">
        <f t="shared" si="167"/>
        <v>49</v>
      </c>
      <c r="B507" s="297" t="s">
        <v>1093</v>
      </c>
      <c r="C507" s="25">
        <f t="shared" si="182"/>
        <v>2509920</v>
      </c>
      <c r="D507" s="797">
        <f t="shared" si="187"/>
        <v>901554.61336563702</v>
      </c>
      <c r="E507" s="797">
        <f t="shared" si="187"/>
        <v>294770.37485698902</v>
      </c>
      <c r="F507" s="797">
        <f t="shared" si="187"/>
        <v>353025.10263140185</v>
      </c>
      <c r="G507" s="797">
        <f t="shared" si="187"/>
        <v>407766.33690019522</v>
      </c>
      <c r="H507" s="797">
        <f t="shared" si="187"/>
        <v>0</v>
      </c>
      <c r="I507" s="25">
        <f t="shared" si="183"/>
        <v>4467036.4277542233</v>
      </c>
      <c r="J507" s="797">
        <v>664</v>
      </c>
      <c r="K507" s="797">
        <f t="shared" si="184"/>
        <v>6727.4644996298548</v>
      </c>
      <c r="L507" s="698"/>
      <c r="M507" s="698"/>
      <c r="N507" s="192" t="s">
        <v>1457</v>
      </c>
      <c r="O507" s="810">
        <f t="shared" si="164"/>
        <v>41259</v>
      </c>
      <c r="P507" s="810">
        <v>41262</v>
      </c>
      <c r="Q507" s="811" t="s">
        <v>1094</v>
      </c>
      <c r="R507" s="8">
        <f t="shared" ref="R507:R508" si="188">J507/4</f>
        <v>166</v>
      </c>
      <c r="S507" s="293">
        <v>15120</v>
      </c>
      <c r="T507" s="25">
        <f t="shared" si="185"/>
        <v>2509920</v>
      </c>
      <c r="U507" s="452"/>
      <c r="V507" s="810"/>
      <c r="W507" s="842"/>
      <c r="X507" s="840"/>
      <c r="Y507" s="25">
        <f t="shared" si="186"/>
        <v>0</v>
      </c>
    </row>
    <row r="508" spans="1:25">
      <c r="A508" s="796">
        <f t="shared" si="167"/>
        <v>50</v>
      </c>
      <c r="B508" s="297" t="s">
        <v>1095</v>
      </c>
      <c r="C508" s="25">
        <f t="shared" si="182"/>
        <v>211680</v>
      </c>
      <c r="D508" s="797">
        <f t="shared" si="187"/>
        <v>76034.72642842721</v>
      </c>
      <c r="E508" s="797">
        <f t="shared" si="187"/>
        <v>24860.152096372567</v>
      </c>
      <c r="F508" s="797">
        <f t="shared" si="187"/>
        <v>29773.201426744738</v>
      </c>
      <c r="G508" s="797">
        <f t="shared" si="187"/>
        <v>34389.932027727307</v>
      </c>
      <c r="H508" s="797">
        <f t="shared" si="187"/>
        <v>0</v>
      </c>
      <c r="I508" s="25">
        <f t="shared" si="183"/>
        <v>376738.01197927183</v>
      </c>
      <c r="J508" s="797">
        <v>56</v>
      </c>
      <c r="K508" s="797">
        <f t="shared" si="184"/>
        <v>6727.4644996298539</v>
      </c>
      <c r="L508" s="698"/>
      <c r="M508" s="698"/>
      <c r="N508" s="192" t="s">
        <v>1457</v>
      </c>
      <c r="O508" s="810">
        <f t="shared" si="164"/>
        <v>41259</v>
      </c>
      <c r="P508" s="810">
        <v>41262</v>
      </c>
      <c r="Q508" s="811" t="s">
        <v>1094</v>
      </c>
      <c r="R508" s="8">
        <f t="shared" si="188"/>
        <v>14</v>
      </c>
      <c r="S508" s="293">
        <v>15120</v>
      </c>
      <c r="T508" s="25">
        <f t="shared" si="185"/>
        <v>211680</v>
      </c>
      <c r="U508" s="452"/>
      <c r="V508" s="810"/>
      <c r="W508" s="842"/>
      <c r="X508" s="840"/>
      <c r="Y508" s="25">
        <f t="shared" si="186"/>
        <v>0</v>
      </c>
    </row>
    <row r="509" spans="1:25">
      <c r="A509" s="796">
        <f t="shared" si="167"/>
        <v>51</v>
      </c>
      <c r="B509" s="297" t="s">
        <v>1178</v>
      </c>
      <c r="C509" s="25">
        <f t="shared" si="161"/>
        <v>419580</v>
      </c>
      <c r="D509" s="797">
        <f t="shared" ref="D509:H521" si="189">IF($J$523&lt;&gt;0,D$523/$J$523*$J509,0)</f>
        <v>126271.95639006663</v>
      </c>
      <c r="E509" s="797">
        <f t="shared" si="189"/>
        <v>41285.609731475874</v>
      </c>
      <c r="F509" s="797">
        <f t="shared" si="189"/>
        <v>49444.780940843935</v>
      </c>
      <c r="G509" s="797">
        <f t="shared" si="189"/>
        <v>57111.85140318999</v>
      </c>
      <c r="H509" s="797">
        <f t="shared" si="189"/>
        <v>0</v>
      </c>
      <c r="I509" s="25">
        <f t="shared" si="163"/>
        <v>693694.1984655764</v>
      </c>
      <c r="J509" s="797">
        <v>93</v>
      </c>
      <c r="K509" s="797">
        <f t="shared" si="169"/>
        <v>7459.0774028556598</v>
      </c>
      <c r="L509" s="698"/>
      <c r="M509" s="698"/>
      <c r="N509" s="192" t="s">
        <v>1441</v>
      </c>
      <c r="O509" s="810">
        <f t="shared" si="164"/>
        <v>41259</v>
      </c>
      <c r="P509" s="810">
        <v>41262</v>
      </c>
      <c r="Q509" s="811" t="s">
        <v>1094</v>
      </c>
      <c r="R509" s="304">
        <v>45</v>
      </c>
      <c r="S509" s="840">
        <v>9324</v>
      </c>
      <c r="T509" s="25">
        <f t="shared" si="170"/>
        <v>419580</v>
      </c>
      <c r="U509" s="452"/>
      <c r="V509" s="810"/>
      <c r="W509" s="842"/>
      <c r="X509" s="840"/>
      <c r="Y509" s="25">
        <f t="shared" si="171"/>
        <v>0</v>
      </c>
    </row>
    <row r="510" spans="1:25">
      <c r="A510" s="796">
        <f t="shared" si="167"/>
        <v>52</v>
      </c>
      <c r="B510" s="297" t="s">
        <v>1120</v>
      </c>
      <c r="C510" s="25">
        <f t="shared" si="161"/>
        <v>729600</v>
      </c>
      <c r="D510" s="797">
        <f t="shared" si="189"/>
        <v>171078.13446396124</v>
      </c>
      <c r="E510" s="797">
        <f t="shared" si="189"/>
        <v>55935.342216838275</v>
      </c>
      <c r="F510" s="797">
        <f t="shared" si="189"/>
        <v>66989.703210175663</v>
      </c>
      <c r="G510" s="797">
        <f t="shared" si="189"/>
        <v>77377.347062386441</v>
      </c>
      <c r="H510" s="797">
        <f t="shared" si="189"/>
        <v>0</v>
      </c>
      <c r="I510" s="25">
        <f t="shared" si="163"/>
        <v>1100980.5269533615</v>
      </c>
      <c r="J510" s="797">
        <v>126</v>
      </c>
      <c r="K510" s="797">
        <f t="shared" si="169"/>
        <v>8737.9406901060429</v>
      </c>
      <c r="L510" s="698"/>
      <c r="M510" s="698"/>
      <c r="N510" s="192" t="s">
        <v>1416</v>
      </c>
      <c r="O510" s="810">
        <f t="shared" si="164"/>
        <v>41259</v>
      </c>
      <c r="P510" s="810">
        <v>41262</v>
      </c>
      <c r="Q510" s="811" t="s">
        <v>1094</v>
      </c>
      <c r="R510" s="304">
        <v>150</v>
      </c>
      <c r="S510" s="840">
        <v>4864</v>
      </c>
      <c r="T510" s="25">
        <f t="shared" si="170"/>
        <v>729600</v>
      </c>
      <c r="U510" s="452"/>
      <c r="V510" s="810"/>
      <c r="W510" s="842"/>
      <c r="X510" s="840"/>
      <c r="Y510" s="25">
        <f t="shared" si="171"/>
        <v>0</v>
      </c>
    </row>
    <row r="511" spans="1:25">
      <c r="A511" s="796">
        <f t="shared" si="167"/>
        <v>53</v>
      </c>
      <c r="B511" s="297" t="s">
        <v>1119</v>
      </c>
      <c r="C511" s="25">
        <f t="shared" si="161"/>
        <v>744053</v>
      </c>
      <c r="D511" s="797">
        <f t="shared" si="189"/>
        <v>297350.09085402789</v>
      </c>
      <c r="E511" s="797">
        <f t="shared" si="189"/>
        <v>97220.951948314148</v>
      </c>
      <c r="F511" s="797">
        <f t="shared" si="189"/>
        <v>116434.4841510196</v>
      </c>
      <c r="G511" s="797">
        <f t="shared" si="189"/>
        <v>134489.19846557642</v>
      </c>
      <c r="H511" s="797">
        <f t="shared" si="189"/>
        <v>0</v>
      </c>
      <c r="I511" s="25">
        <f t="shared" si="163"/>
        <v>1389547.7254189379</v>
      </c>
      <c r="J511" s="797">
        <v>219</v>
      </c>
      <c r="K511" s="797">
        <f t="shared" si="169"/>
        <v>6344.9667827348758</v>
      </c>
      <c r="L511" s="698"/>
      <c r="M511" s="698"/>
      <c r="N511" s="192" t="s">
        <v>1337</v>
      </c>
      <c r="O511" s="810">
        <f t="shared" si="164"/>
        <v>41260</v>
      </c>
      <c r="P511" s="810">
        <v>41263</v>
      </c>
      <c r="Q511" s="811" t="s">
        <v>1096</v>
      </c>
      <c r="R511" s="8">
        <f t="shared" ref="R511" si="190">J511/4</f>
        <v>54.75</v>
      </c>
      <c r="S511" s="840">
        <v>13590</v>
      </c>
      <c r="T511" s="25">
        <f t="shared" si="170"/>
        <v>744053</v>
      </c>
      <c r="U511" s="452"/>
      <c r="V511" s="810"/>
      <c r="W511" s="842"/>
      <c r="X511" s="840"/>
      <c r="Y511" s="25">
        <f t="shared" si="171"/>
        <v>0</v>
      </c>
    </row>
    <row r="512" spans="1:25">
      <c r="A512" s="796">
        <f t="shared" si="167"/>
        <v>54</v>
      </c>
      <c r="B512" s="297" t="s">
        <v>1070</v>
      </c>
      <c r="C512" s="25">
        <f t="shared" si="161"/>
        <v>361400</v>
      </c>
      <c r="D512" s="797">
        <f t="shared" si="189"/>
        <v>135776.29719362003</v>
      </c>
      <c r="E512" s="797">
        <f t="shared" si="189"/>
        <v>44393.128743522444</v>
      </c>
      <c r="F512" s="797">
        <f t="shared" si="189"/>
        <v>53166.431119187029</v>
      </c>
      <c r="G512" s="797">
        <f t="shared" si="189"/>
        <v>61410.592906655904</v>
      </c>
      <c r="H512" s="797">
        <f t="shared" si="189"/>
        <v>0</v>
      </c>
      <c r="I512" s="25">
        <f t="shared" si="163"/>
        <v>656146.44996298535</v>
      </c>
      <c r="J512" s="797">
        <v>100</v>
      </c>
      <c r="K512" s="797">
        <f t="shared" si="169"/>
        <v>6561.4644996298539</v>
      </c>
      <c r="L512" s="698"/>
      <c r="M512" s="698"/>
      <c r="N512" s="192" t="s">
        <v>1454</v>
      </c>
      <c r="O512" s="810">
        <f t="shared" si="164"/>
        <v>41260</v>
      </c>
      <c r="P512" s="810">
        <v>41263</v>
      </c>
      <c r="Q512" s="811" t="s">
        <v>1096</v>
      </c>
      <c r="R512" s="8">
        <f t="shared" ref="R512:R514" si="191">J512/4</f>
        <v>25</v>
      </c>
      <c r="S512" s="840">
        <v>14456</v>
      </c>
      <c r="T512" s="25">
        <f t="shared" si="170"/>
        <v>361400</v>
      </c>
      <c r="U512" s="452"/>
      <c r="V512" s="810"/>
      <c r="W512" s="842"/>
      <c r="X512" s="840"/>
      <c r="Y512" s="25">
        <f t="shared" si="171"/>
        <v>0</v>
      </c>
    </row>
    <row r="513" spans="1:25">
      <c r="A513" s="796">
        <f t="shared" si="167"/>
        <v>55</v>
      </c>
      <c r="B513" s="297" t="s">
        <v>1069</v>
      </c>
      <c r="C513" s="25">
        <f t="shared" si="161"/>
        <v>353340</v>
      </c>
      <c r="D513" s="797">
        <f t="shared" si="189"/>
        <v>141207.34908136484</v>
      </c>
      <c r="E513" s="797">
        <f t="shared" si="189"/>
        <v>46168.853893263338</v>
      </c>
      <c r="F513" s="797">
        <f t="shared" si="189"/>
        <v>55293.088363954514</v>
      </c>
      <c r="G513" s="797">
        <f t="shared" si="189"/>
        <v>63867.016622922143</v>
      </c>
      <c r="H513" s="797">
        <f t="shared" si="189"/>
        <v>0</v>
      </c>
      <c r="I513" s="25">
        <f t="shared" si="163"/>
        <v>659876.30796150491</v>
      </c>
      <c r="J513" s="797">
        <v>104</v>
      </c>
      <c r="K513" s="797">
        <f t="shared" si="169"/>
        <v>6344.9644996298548</v>
      </c>
      <c r="L513" s="698"/>
      <c r="M513" s="698"/>
      <c r="N513" s="192" t="s">
        <v>1337</v>
      </c>
      <c r="O513" s="810">
        <f t="shared" si="164"/>
        <v>41260</v>
      </c>
      <c r="P513" s="810">
        <v>41263</v>
      </c>
      <c r="Q513" s="811" t="s">
        <v>1096</v>
      </c>
      <c r="R513" s="8">
        <f t="shared" si="191"/>
        <v>26</v>
      </c>
      <c r="S513" s="840">
        <v>13590</v>
      </c>
      <c r="T513" s="25">
        <f t="shared" si="170"/>
        <v>353340</v>
      </c>
      <c r="U513" s="452"/>
      <c r="V513" s="810"/>
      <c r="W513" s="842"/>
      <c r="X513" s="840"/>
      <c r="Y513" s="25">
        <f t="shared" si="171"/>
        <v>0</v>
      </c>
    </row>
    <row r="514" spans="1:25">
      <c r="A514" s="796">
        <f t="shared" si="167"/>
        <v>56</v>
      </c>
      <c r="B514" s="297" t="s">
        <v>1178</v>
      </c>
      <c r="C514" s="25">
        <f t="shared" si="161"/>
        <v>419224</v>
      </c>
      <c r="D514" s="797">
        <f t="shared" si="189"/>
        <v>157500.50474459922</v>
      </c>
      <c r="E514" s="797">
        <f t="shared" si="189"/>
        <v>51496.029342486036</v>
      </c>
      <c r="F514" s="797">
        <f t="shared" si="189"/>
        <v>61673.060098256952</v>
      </c>
      <c r="G514" s="797">
        <f t="shared" si="189"/>
        <v>71236.287771720847</v>
      </c>
      <c r="H514" s="797">
        <f t="shared" si="189"/>
        <v>0</v>
      </c>
      <c r="I514" s="25">
        <f t="shared" si="163"/>
        <v>761129.88195706299</v>
      </c>
      <c r="J514" s="797">
        <v>116</v>
      </c>
      <c r="K514" s="797">
        <f t="shared" si="169"/>
        <v>6561.464499629853</v>
      </c>
      <c r="L514" s="698"/>
      <c r="M514" s="698"/>
      <c r="N514" s="192" t="s">
        <v>1454</v>
      </c>
      <c r="O514" s="810">
        <f t="shared" si="164"/>
        <v>41260</v>
      </c>
      <c r="P514" s="810">
        <v>41263</v>
      </c>
      <c r="Q514" s="811" t="s">
        <v>1096</v>
      </c>
      <c r="R514" s="8">
        <f t="shared" si="191"/>
        <v>29</v>
      </c>
      <c r="S514" s="840">
        <v>14456</v>
      </c>
      <c r="T514" s="25">
        <f t="shared" si="170"/>
        <v>419224</v>
      </c>
      <c r="U514" s="452"/>
      <c r="V514" s="810"/>
      <c r="W514" s="842"/>
      <c r="X514" s="840"/>
      <c r="Y514" s="25">
        <f t="shared" si="171"/>
        <v>0</v>
      </c>
    </row>
    <row r="515" spans="1:25">
      <c r="A515" s="796">
        <f t="shared" si="167"/>
        <v>57</v>
      </c>
      <c r="B515" s="297" t="s">
        <v>1097</v>
      </c>
      <c r="C515" s="25">
        <f t="shared" si="161"/>
        <v>1128280</v>
      </c>
      <c r="D515" s="797">
        <f t="shared" si="189"/>
        <v>271552.59438724007</v>
      </c>
      <c r="E515" s="797">
        <f t="shared" si="189"/>
        <v>88786.257487044888</v>
      </c>
      <c r="F515" s="797">
        <f t="shared" si="189"/>
        <v>106332.86223837406</v>
      </c>
      <c r="G515" s="797">
        <f t="shared" si="189"/>
        <v>122821.18581331181</v>
      </c>
      <c r="H515" s="797">
        <f t="shared" si="189"/>
        <v>0</v>
      </c>
      <c r="I515" s="25">
        <f t="shared" si="163"/>
        <v>1717772.8999259707</v>
      </c>
      <c r="J515" s="797">
        <v>200</v>
      </c>
      <c r="K515" s="797">
        <f t="shared" si="169"/>
        <v>8588.8644996298535</v>
      </c>
      <c r="L515" s="698"/>
      <c r="M515" s="698"/>
      <c r="N515" s="192" t="s">
        <v>1323</v>
      </c>
      <c r="O515" s="810">
        <f t="shared" si="164"/>
        <v>41260</v>
      </c>
      <c r="P515" s="810">
        <v>41263</v>
      </c>
      <c r="Q515" s="811" t="s">
        <v>1096</v>
      </c>
      <c r="R515" s="304">
        <v>40</v>
      </c>
      <c r="S515" s="840">
        <v>28207</v>
      </c>
      <c r="T515" s="25">
        <f t="shared" si="170"/>
        <v>1128280</v>
      </c>
      <c r="U515" s="452"/>
      <c r="V515" s="810"/>
      <c r="W515" s="842"/>
      <c r="X515" s="840"/>
      <c r="Y515" s="25">
        <f t="shared" si="171"/>
        <v>0</v>
      </c>
    </row>
    <row r="516" spans="1:25">
      <c r="A516" s="796">
        <f t="shared" si="167"/>
        <v>58</v>
      </c>
      <c r="B516" s="297" t="s">
        <v>1098</v>
      </c>
      <c r="C516" s="25">
        <f t="shared" si="161"/>
        <v>1855900</v>
      </c>
      <c r="D516" s="797">
        <f t="shared" si="189"/>
        <v>271552.59438724007</v>
      </c>
      <c r="E516" s="797">
        <f t="shared" si="189"/>
        <v>88786.257487044888</v>
      </c>
      <c r="F516" s="797">
        <f t="shared" si="189"/>
        <v>106332.86223837406</v>
      </c>
      <c r="G516" s="797">
        <f t="shared" si="189"/>
        <v>122821.18581331181</v>
      </c>
      <c r="H516" s="797">
        <f t="shared" si="189"/>
        <v>0</v>
      </c>
      <c r="I516" s="25">
        <f t="shared" si="163"/>
        <v>2445392.8999259709</v>
      </c>
      <c r="J516" s="797">
        <v>200</v>
      </c>
      <c r="K516" s="797">
        <f t="shared" si="169"/>
        <v>12226.964499629854</v>
      </c>
      <c r="L516" s="698"/>
      <c r="M516" s="698"/>
      <c r="N516" s="192" t="s">
        <v>1300</v>
      </c>
      <c r="O516" s="810">
        <f t="shared" si="164"/>
        <v>41262</v>
      </c>
      <c r="P516" s="810">
        <v>41265</v>
      </c>
      <c r="Q516" s="811" t="s">
        <v>1099</v>
      </c>
      <c r="R516" s="304">
        <v>100</v>
      </c>
      <c r="S516" s="840">
        <v>18559</v>
      </c>
      <c r="T516" s="25">
        <f t="shared" si="170"/>
        <v>1855900</v>
      </c>
      <c r="U516" s="452"/>
      <c r="V516" s="810"/>
      <c r="W516" s="842"/>
      <c r="X516" s="840"/>
      <c r="Y516" s="25">
        <f t="shared" si="171"/>
        <v>0</v>
      </c>
    </row>
    <row r="517" spans="1:25">
      <c r="A517" s="796">
        <f t="shared" si="167"/>
        <v>59</v>
      </c>
      <c r="B517" s="297" t="s">
        <v>1118</v>
      </c>
      <c r="C517" s="25">
        <f t="shared" si="161"/>
        <v>3601260</v>
      </c>
      <c r="D517" s="797">
        <f t="shared" si="189"/>
        <v>2196860.4885927723</v>
      </c>
      <c r="E517" s="797">
        <f t="shared" si="189"/>
        <v>718280.82307019306</v>
      </c>
      <c r="F517" s="797">
        <f t="shared" si="189"/>
        <v>860232.85550844611</v>
      </c>
      <c r="G517" s="797">
        <f t="shared" si="189"/>
        <v>993623.39322969248</v>
      </c>
      <c r="H517" s="797">
        <f t="shared" si="189"/>
        <v>0</v>
      </c>
      <c r="I517" s="25">
        <f t="shared" si="163"/>
        <v>8370257.5604011025</v>
      </c>
      <c r="J517" s="797">
        <v>1618</v>
      </c>
      <c r="K517" s="797">
        <f t="shared" si="169"/>
        <v>5173.2123364654526</v>
      </c>
      <c r="L517" s="698"/>
      <c r="M517" s="698"/>
      <c r="N517" s="192" t="s">
        <v>898</v>
      </c>
      <c r="O517" s="810">
        <f t="shared" si="164"/>
        <v>41262</v>
      </c>
      <c r="P517" s="810">
        <v>41265</v>
      </c>
      <c r="Q517" s="811" t="s">
        <v>1100</v>
      </c>
      <c r="R517" s="8">
        <v>270</v>
      </c>
      <c r="S517" s="840">
        <v>13338</v>
      </c>
      <c r="T517" s="25">
        <f t="shared" si="170"/>
        <v>3601260</v>
      </c>
      <c r="U517" s="452"/>
      <c r="V517" s="810"/>
      <c r="W517" s="842"/>
      <c r="X517" s="840"/>
      <c r="Y517" s="25">
        <f t="shared" si="171"/>
        <v>0</v>
      </c>
    </row>
    <row r="518" spans="1:25">
      <c r="A518" s="796">
        <f t="shared" si="167"/>
        <v>60</v>
      </c>
      <c r="B518" s="297" t="s">
        <v>1117</v>
      </c>
      <c r="C518" s="25">
        <f t="shared" si="161"/>
        <v>1874600</v>
      </c>
      <c r="D518" s="797">
        <f t="shared" si="189"/>
        <v>410044.41752473247</v>
      </c>
      <c r="E518" s="797">
        <f t="shared" si="189"/>
        <v>134067.24880543776</v>
      </c>
      <c r="F518" s="797">
        <f t="shared" si="189"/>
        <v>160562.62197994482</v>
      </c>
      <c r="G518" s="797">
        <f t="shared" si="189"/>
        <v>185459.99057810084</v>
      </c>
      <c r="H518" s="797">
        <f t="shared" si="189"/>
        <v>0</v>
      </c>
      <c r="I518" s="25">
        <f>SUM(C518:H518)+1</f>
        <v>2764735.2788882162</v>
      </c>
      <c r="J518" s="797">
        <v>302</v>
      </c>
      <c r="K518" s="797">
        <f t="shared" si="169"/>
        <v>9154.7525791000535</v>
      </c>
      <c r="L518" s="698"/>
      <c r="M518" s="698"/>
      <c r="N518" s="192" t="s">
        <v>1358</v>
      </c>
      <c r="O518" s="810">
        <f t="shared" si="164"/>
        <v>41262</v>
      </c>
      <c r="P518" s="810">
        <v>41265</v>
      </c>
      <c r="Q518" s="811" t="s">
        <v>1100</v>
      </c>
      <c r="R518" s="304">
        <v>100</v>
      </c>
      <c r="S518" s="840">
        <v>18746</v>
      </c>
      <c r="T518" s="25">
        <f t="shared" si="170"/>
        <v>1874600</v>
      </c>
      <c r="U518" s="452"/>
      <c r="V518" s="810"/>
      <c r="W518" s="842"/>
      <c r="X518" s="840"/>
      <c r="Y518" s="25">
        <f t="shared" si="171"/>
        <v>0</v>
      </c>
    </row>
    <row r="519" spans="1:25">
      <c r="A519" s="796">
        <f t="shared" si="167"/>
        <v>61</v>
      </c>
      <c r="B519" s="297" t="s">
        <v>1115</v>
      </c>
      <c r="C519" s="25">
        <f t="shared" si="161"/>
        <v>1614000</v>
      </c>
      <c r="D519" s="797">
        <f t="shared" si="189"/>
        <v>131703.00827781143</v>
      </c>
      <c r="E519" s="797">
        <f t="shared" si="189"/>
        <v>43061.334881216768</v>
      </c>
      <c r="F519" s="797">
        <f t="shared" si="189"/>
        <v>51571.43818561142</v>
      </c>
      <c r="G519" s="797">
        <f t="shared" si="189"/>
        <v>59568.27511945623</v>
      </c>
      <c r="H519" s="797">
        <f t="shared" si="189"/>
        <v>0</v>
      </c>
      <c r="I519" s="25">
        <f t="shared" ref="I519:I521" si="192">SUM(C519:H519)+1</f>
        <v>1899905.0564640958</v>
      </c>
      <c r="J519" s="797">
        <v>97</v>
      </c>
      <c r="K519" s="797">
        <f t="shared" si="169"/>
        <v>19586.650066640163</v>
      </c>
      <c r="L519" s="698"/>
      <c r="M519" s="698"/>
      <c r="N519" s="192" t="s">
        <v>1326</v>
      </c>
      <c r="O519" s="810">
        <f t="shared" si="164"/>
        <v>41269</v>
      </c>
      <c r="P519" s="810">
        <v>41272</v>
      </c>
      <c r="Q519" s="811" t="s">
        <v>1101</v>
      </c>
      <c r="R519" s="8">
        <v>100</v>
      </c>
      <c r="S519" s="293">
        <v>16140</v>
      </c>
      <c r="T519" s="25">
        <f t="shared" si="170"/>
        <v>1614000</v>
      </c>
      <c r="U519" s="452"/>
      <c r="V519" s="810"/>
      <c r="W519" s="842"/>
      <c r="X519" s="840"/>
      <c r="Y519" s="25">
        <f t="shared" si="171"/>
        <v>0</v>
      </c>
    </row>
    <row r="520" spans="1:25">
      <c r="A520" s="796">
        <f t="shared" si="167"/>
        <v>62</v>
      </c>
      <c r="B520" s="297" t="s">
        <v>1116</v>
      </c>
      <c r="C520" s="25">
        <f t="shared" si="161"/>
        <v>6639360</v>
      </c>
      <c r="D520" s="797">
        <f t="shared" si="189"/>
        <v>510518.87744801131</v>
      </c>
      <c r="E520" s="797">
        <f t="shared" si="189"/>
        <v>166918.1640756444</v>
      </c>
      <c r="F520" s="797">
        <f t="shared" si="189"/>
        <v>199905.78100814324</v>
      </c>
      <c r="G520" s="797">
        <f t="shared" si="189"/>
        <v>230903.82932902619</v>
      </c>
      <c r="H520" s="797">
        <f t="shared" si="189"/>
        <v>0</v>
      </c>
      <c r="I520" s="25">
        <f t="shared" si="192"/>
        <v>7747607.6518608248</v>
      </c>
      <c r="J520" s="797">
        <v>376</v>
      </c>
      <c r="K520" s="797">
        <f t="shared" si="169"/>
        <v>20605.339499629852</v>
      </c>
      <c r="L520" s="698"/>
      <c r="M520" s="698"/>
      <c r="N520" s="192" t="s">
        <v>1346</v>
      </c>
      <c r="O520" s="810">
        <f t="shared" si="164"/>
        <v>41269</v>
      </c>
      <c r="P520" s="810">
        <v>41272</v>
      </c>
      <c r="Q520" s="811" t="s">
        <v>1101</v>
      </c>
      <c r="R520" s="304">
        <v>190</v>
      </c>
      <c r="S520" s="840">
        <v>34944</v>
      </c>
      <c r="T520" s="25">
        <f t="shared" si="170"/>
        <v>6639360</v>
      </c>
      <c r="U520" s="452"/>
      <c r="V520" s="810"/>
      <c r="W520" s="842"/>
      <c r="X520" s="840"/>
      <c r="Y520" s="25">
        <f t="shared" si="171"/>
        <v>0</v>
      </c>
    </row>
    <row r="521" spans="1:25">
      <c r="A521" s="796">
        <f t="shared" si="167"/>
        <v>63</v>
      </c>
      <c r="B521" s="297" t="s">
        <v>1114</v>
      </c>
      <c r="C521" s="25">
        <f t="shared" si="161"/>
        <v>10189290</v>
      </c>
      <c r="D521" s="797">
        <f t="shared" si="189"/>
        <v>1384918.2313749243</v>
      </c>
      <c r="E521" s="797">
        <f t="shared" si="189"/>
        <v>452809.91318392893</v>
      </c>
      <c r="F521" s="797">
        <f t="shared" si="189"/>
        <v>542297.59741570766</v>
      </c>
      <c r="G521" s="797">
        <f t="shared" si="189"/>
        <v>626388.04764789017</v>
      </c>
      <c r="H521" s="797">
        <f t="shared" si="189"/>
        <v>0</v>
      </c>
      <c r="I521" s="25">
        <f t="shared" si="192"/>
        <v>13195704.789622452</v>
      </c>
      <c r="J521" s="797">
        <v>1020</v>
      </c>
      <c r="K521" s="797">
        <f t="shared" si="169"/>
        <v>12936.965480022012</v>
      </c>
      <c r="L521" s="698"/>
      <c r="M521" s="698"/>
      <c r="N521" s="40" t="s">
        <v>1363</v>
      </c>
      <c r="O521" s="810">
        <f t="shared" si="164"/>
        <v>41269</v>
      </c>
      <c r="P521" s="810">
        <v>41272</v>
      </c>
      <c r="Q521" s="811" t="s">
        <v>1103</v>
      </c>
      <c r="R521" s="304">
        <f>J521/2</f>
        <v>510</v>
      </c>
      <c r="S521" s="840">
        <v>19979</v>
      </c>
      <c r="T521" s="25">
        <f t="shared" si="170"/>
        <v>10189290</v>
      </c>
      <c r="U521" s="452"/>
      <c r="V521" s="810"/>
      <c r="W521" s="842"/>
      <c r="X521" s="840"/>
      <c r="Y521" s="25">
        <f t="shared" si="171"/>
        <v>0</v>
      </c>
    </row>
    <row r="522" spans="1:25">
      <c r="A522" s="796"/>
      <c r="B522" s="297"/>
      <c r="C522" s="25"/>
      <c r="D522" s="797"/>
      <c r="E522" s="797"/>
      <c r="F522" s="797"/>
      <c r="G522" s="797"/>
      <c r="H522" s="797"/>
      <c r="I522" s="25"/>
      <c r="J522" s="797"/>
      <c r="K522" s="797"/>
      <c r="L522" s="698"/>
      <c r="M522" s="698"/>
      <c r="N522" s="452"/>
      <c r="O522" s="810"/>
      <c r="P522" s="810"/>
      <c r="Q522" s="811"/>
      <c r="R522" s="304"/>
      <c r="S522" s="840"/>
      <c r="T522" s="25">
        <f t="shared" si="165"/>
        <v>0</v>
      </c>
      <c r="U522" s="452"/>
      <c r="V522" s="810"/>
      <c r="W522" s="842"/>
      <c r="X522" s="840"/>
      <c r="Y522" s="25">
        <f t="shared" si="166"/>
        <v>0</v>
      </c>
    </row>
    <row r="523" spans="1:25" s="815" customFormat="1">
      <c r="A523" s="798"/>
      <c r="B523" s="799" t="s">
        <v>268</v>
      </c>
      <c r="C523" s="544">
        <f>SUM(C459:C522)</f>
        <v>173817804</v>
      </c>
      <c r="D523" s="544">
        <v>40350000</v>
      </c>
      <c r="E523" s="544">
        <f>$Y$523</f>
        <v>13192750</v>
      </c>
      <c r="F523" s="544">
        <v>15800000</v>
      </c>
      <c r="G523" s="544">
        <v>18250000</v>
      </c>
      <c r="H523" s="544"/>
      <c r="I523" s="544">
        <f>SUM(I459:I522)</f>
        <v>261410558.00000006</v>
      </c>
      <c r="J523" s="544">
        <f>ROUND(SUM(J459:J522),0)</f>
        <v>29718</v>
      </c>
      <c r="K523" s="544"/>
      <c r="L523" s="698"/>
      <c r="M523" s="698"/>
      <c r="N523" s="816"/>
      <c r="O523" s="817"/>
      <c r="P523" s="817"/>
      <c r="Q523" s="818"/>
      <c r="R523" s="863"/>
      <c r="S523" s="839"/>
      <c r="T523" s="47">
        <f>SUM(T459:T522)</f>
        <v>173817804</v>
      </c>
      <c r="U523" s="816"/>
      <c r="V523" s="817"/>
      <c r="W523" s="830"/>
      <c r="X523" s="839"/>
      <c r="Y523" s="47">
        <f>SUM(Y459:Y522)</f>
        <v>13192750</v>
      </c>
    </row>
    <row r="524" spans="1:25" s="794" customFormat="1">
      <c r="A524" s="793"/>
      <c r="B524" s="793"/>
      <c r="C524" s="793"/>
      <c r="D524" s="793"/>
      <c r="E524" s="793"/>
      <c r="F524" s="793"/>
      <c r="G524" s="793"/>
      <c r="H524" s="793"/>
      <c r="I524" s="913"/>
      <c r="J524" s="793"/>
      <c r="K524" s="793"/>
      <c r="L524" s="698"/>
      <c r="M524" s="698"/>
      <c r="N524" s="793"/>
      <c r="O524" s="805"/>
      <c r="P524" s="805"/>
      <c r="Q524" s="806"/>
      <c r="R524" s="856"/>
      <c r="S524" s="293"/>
      <c r="T524" s="793"/>
      <c r="U524" s="793"/>
      <c r="V524" s="805"/>
      <c r="W524" s="293"/>
      <c r="X524" s="293"/>
      <c r="Y524" s="793"/>
    </row>
    <row r="525" spans="1:25">
      <c r="I525" s="822"/>
      <c r="L525" s="698"/>
      <c r="M525" s="698"/>
    </row>
    <row r="526" spans="1:25">
      <c r="I526" s="822"/>
      <c r="L526" s="698"/>
      <c r="M526" s="698"/>
    </row>
    <row r="527" spans="1:25">
      <c r="L527" s="698"/>
      <c r="M527" s="698"/>
    </row>
  </sheetData>
  <autoFilter ref="A458:AA525"/>
  <sortState ref="A359:AF597">
    <sortCondition ref="V359:V597"/>
  </sortState>
  <dataValidations count="1">
    <dataValidation type="list" allowBlank="1" showInputMessage="1" showErrorMessage="1" sqref="N458 N377 N5 N198 U458 U377 U5 U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54" customFormat="1" ht="19.5" customHeight="1">
      <c r="A1" s="584" t="str">
        <f>TH!A1</f>
        <v>Đơn vị: CÔNG TY TNHH SX TM KIM DUNG PHÁT</v>
      </c>
      <c r="B1" s="584"/>
      <c r="D1" s="455"/>
      <c r="E1" s="455"/>
      <c r="F1" s="455"/>
      <c r="G1" s="1074" t="s">
        <v>269</v>
      </c>
      <c r="H1" s="1074"/>
      <c r="I1" s="1074"/>
      <c r="J1" s="456"/>
      <c r="K1" s="457"/>
    </row>
    <row r="2" spans="1:11" s="454" customFormat="1" ht="19.5" customHeight="1">
      <c r="A2" s="635" t="str">
        <f>TH!A2</f>
        <v>Địa chỉ: 1A227/1 Ấp 1, Phạm Văn Hai, Bình Chánh, TPHCM</v>
      </c>
      <c r="B2" s="584"/>
      <c r="D2" s="458"/>
      <c r="E2" s="458"/>
      <c r="F2" s="458"/>
      <c r="G2" s="1075" t="s">
        <v>121</v>
      </c>
      <c r="H2" s="1075"/>
      <c r="I2" s="1075"/>
      <c r="J2" s="456"/>
      <c r="K2" s="443">
        <v>1</v>
      </c>
    </row>
    <row r="3" spans="1:11" s="454" customFormat="1" ht="15">
      <c r="A3" s="585"/>
      <c r="B3" s="586"/>
      <c r="C3" s="458"/>
      <c r="D3" s="458"/>
      <c r="E3" s="458"/>
      <c r="F3" s="458"/>
      <c r="G3" s="1075"/>
      <c r="H3" s="1075"/>
      <c r="I3" s="1075"/>
      <c r="J3" s="456"/>
    </row>
    <row r="4" spans="1:11" s="588" customFormat="1" ht="17.25" customHeight="1">
      <c r="A4" s="1076" t="s">
        <v>270</v>
      </c>
      <c r="B4" s="1076"/>
      <c r="C4" s="1076"/>
      <c r="D4" s="1076"/>
      <c r="E4" s="1076"/>
      <c r="F4" s="1076"/>
      <c r="G4" s="1076"/>
      <c r="H4" s="1076"/>
      <c r="I4" s="1076"/>
      <c r="J4" s="587"/>
    </row>
    <row r="5" spans="1:11" s="589" customFormat="1" ht="17.25" customHeight="1">
      <c r="B5" s="590"/>
      <c r="C5" s="591" t="s">
        <v>375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77" t="s">
        <v>271</v>
      </c>
      <c r="D6" s="1077"/>
      <c r="E6" s="1078"/>
      <c r="F6" s="1078"/>
      <c r="G6" s="1078"/>
      <c r="H6" s="73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0" customFormat="1" ht="17.25" customHeight="1">
      <c r="A8" s="1079" t="s">
        <v>272</v>
      </c>
      <c r="B8" s="1080" t="s">
        <v>273</v>
      </c>
      <c r="C8" s="1080" t="s">
        <v>274</v>
      </c>
      <c r="D8" s="1080"/>
      <c r="E8" s="1080"/>
      <c r="F8" s="1080"/>
      <c r="G8" s="1080"/>
      <c r="H8" s="1080"/>
      <c r="I8" s="1080"/>
      <c r="J8" s="459"/>
    </row>
    <row r="9" spans="1:11" s="463" customFormat="1" ht="35.25" customHeight="1">
      <c r="A9" s="1079"/>
      <c r="B9" s="1080"/>
      <c r="C9" s="461" t="s">
        <v>505</v>
      </c>
      <c r="D9" s="461" t="s">
        <v>275</v>
      </c>
      <c r="E9" s="461" t="s">
        <v>506</v>
      </c>
      <c r="F9" s="461" t="s">
        <v>507</v>
      </c>
      <c r="G9" s="461" t="s">
        <v>276</v>
      </c>
      <c r="H9" s="461" t="s">
        <v>277</v>
      </c>
      <c r="I9" s="461" t="s">
        <v>508</v>
      </c>
      <c r="J9" s="462"/>
    </row>
    <row r="10" spans="1:11" s="466" customFormat="1" ht="15">
      <c r="A10" s="464" t="s">
        <v>2</v>
      </c>
      <c r="B10" s="465">
        <v>1</v>
      </c>
      <c r="C10" s="465">
        <v>2</v>
      </c>
      <c r="D10" s="465">
        <v>3</v>
      </c>
      <c r="E10" s="465">
        <v>4</v>
      </c>
      <c r="F10" s="465">
        <v>5</v>
      </c>
      <c r="G10" s="465">
        <v>6</v>
      </c>
      <c r="H10" s="465">
        <v>7</v>
      </c>
      <c r="I10" s="465">
        <v>8</v>
      </c>
      <c r="J10" s="456"/>
    </row>
    <row r="11" spans="1:11" s="589" customFormat="1" ht="24.75" customHeight="1">
      <c r="A11" s="595" t="s">
        <v>278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279</v>
      </c>
      <c r="B12" s="596">
        <f ca="1">ROUND(SUM(C12:I12),0)</f>
        <v>0</v>
      </c>
      <c r="C12" s="596">
        <f ca="1">IF(ISNA(VLOOKUP($E6,INDIRECT("DSSP"&amp;$K$2),5,0)),0,VLOOKUP($E6,INDIRECT("DSSP"&amp;$K$2),5,0))</f>
        <v>0</v>
      </c>
      <c r="D12" s="596">
        <f ca="1">IF(ISNA(VLOOKUP($E6,INDIRECT("DSSP"&amp;$K$2),6,0)),0,VLOOKUP($E6,INDIRECT("DSSP"&amp;$K$2),6,0))</f>
        <v>0</v>
      </c>
      <c r="E12" s="596">
        <f ca="1">IF(ISNA(VLOOKUP($E6,INDIRECT("DSSP"&amp;$K$2),7,0)),0,VLOOKUP($E6,INDIRECT("DSSP"&amp;$K$2),7,0))</f>
        <v>0</v>
      </c>
      <c r="F12" s="596">
        <f ca="1">IF(ISNA(VLOOKUP($E6,INDIRECT("DSSP"&amp;$K$2),8,0)),0,VLOOKUP($E6,INDIRECT("DSSP"&amp;$K$2),8,0))</f>
        <v>0</v>
      </c>
      <c r="G12" s="596">
        <f ca="1">IF(ISNA(VLOOKUP($E6,INDIRECT("DSSP"&amp;$K$2),9,0)),0,VLOOKUP($E6,INDIRECT("DSSP"&amp;$K$2),9,0))</f>
        <v>0</v>
      </c>
      <c r="H12" s="596">
        <f ca="1">IF(ISNA(VLOOKUP($E6,INDIRECT("DSSP"&amp;$K$2),10,0)),0,VLOOKUP($E6,INDIRECT("DSSP"&amp;$K$2),10,0))</f>
        <v>0</v>
      </c>
      <c r="I12" s="596">
        <f ca="1">IF(ISNA(VLOOKUP($E6,INDIRECT("DSSP"&amp;$K$2),11,0)),0,VLOOKUP($E6,INDIRECT("DSSP"&amp;$K$2),11,0))</f>
        <v>0</v>
      </c>
      <c r="J12" s="590"/>
    </row>
    <row r="13" spans="1:11" s="589" customFormat="1" ht="24.75" customHeight="1">
      <c r="A13" s="595" t="s">
        <v>280</v>
      </c>
      <c r="B13" s="596">
        <f ca="1">ROUND(IF(ISNA(VLOOKUP($E6,INDIRECT("DSSP"&amp;$K$2),13,0)),0,VLOOKUP($E6,INDIRECT("DSSP"&amp;$K$2),13,0)),0)</f>
        <v>0</v>
      </c>
      <c r="C13" s="596">
        <f t="shared" ref="C13:I13" ca="1" si="0">C12</f>
        <v>0</v>
      </c>
      <c r="D13" s="596">
        <f t="shared" ca="1" si="0"/>
        <v>0</v>
      </c>
      <c r="E13" s="596">
        <f t="shared" ca="1" si="0"/>
        <v>0</v>
      </c>
      <c r="F13" s="596"/>
      <c r="G13" s="596">
        <f t="shared" ca="1" si="0"/>
        <v>0</v>
      </c>
      <c r="H13" s="596"/>
      <c r="I13" s="596">
        <f t="shared" ca="1" si="0"/>
        <v>0</v>
      </c>
      <c r="J13" s="590"/>
    </row>
    <row r="14" spans="1:11" s="589" customFormat="1" ht="24.75" customHeight="1">
      <c r="A14" s="595" t="s">
        <v>281</v>
      </c>
      <c r="B14" s="596">
        <f ca="1">B12-B13</f>
        <v>0</v>
      </c>
      <c r="C14" s="596">
        <f t="shared" ref="C14:I14" ca="1" si="1">C12-C13</f>
        <v>0</v>
      </c>
      <c r="D14" s="596">
        <f t="shared" ca="1" si="1"/>
        <v>0</v>
      </c>
      <c r="E14" s="596">
        <f t="shared" ca="1" si="1"/>
        <v>0</v>
      </c>
      <c r="F14" s="596"/>
      <c r="G14" s="596">
        <f t="shared" ca="1" si="1"/>
        <v>0</v>
      </c>
      <c r="H14" s="596"/>
      <c r="I14" s="596">
        <f t="shared" ca="1" si="1"/>
        <v>0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3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73"/>
      <c r="G16" s="1073"/>
      <c r="H16" s="1073"/>
      <c r="I16" s="1073"/>
      <c r="J16" s="590"/>
    </row>
    <row r="17" spans="2:10" s="589" customFormat="1" ht="15">
      <c r="B17" s="466" t="s">
        <v>282</v>
      </c>
      <c r="C17" s="590"/>
      <c r="D17" s="590"/>
      <c r="E17" s="1073" t="s">
        <v>12</v>
      </c>
      <c r="F17" s="1073"/>
      <c r="G17" s="1073"/>
      <c r="H17" s="1073"/>
      <c r="I17" s="1073"/>
      <c r="J17" s="590"/>
    </row>
    <row r="19" spans="2:10" ht="15">
      <c r="E19" s="598"/>
      <c r="F19" s="598"/>
    </row>
    <row r="26" spans="2:10">
      <c r="B26" s="570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71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36" t="str">
        <f>TH!A1</f>
        <v>Đơn vị: CÔNG TY TNHH SX TM KIM DUNG PHÁT</v>
      </c>
      <c r="M1" s="502"/>
      <c r="N1" s="503" t="s">
        <v>302</v>
      </c>
      <c r="O1" s="502"/>
    </row>
    <row r="2" spans="1:18" ht="15" customHeight="1">
      <c r="A2" s="498" t="str">
        <f>TH!A2</f>
        <v>Địa chỉ: 1A227/1 Ấp 1, Phạm Văn Hai, Bình Chánh, TPHCM</v>
      </c>
      <c r="L2" s="501"/>
      <c r="M2" s="501"/>
      <c r="N2" s="504" t="s">
        <v>203</v>
      </c>
      <c r="O2" s="501"/>
    </row>
    <row r="3" spans="1:18" ht="15" customHeight="1">
      <c r="L3" s="501"/>
      <c r="M3" s="501"/>
      <c r="N3" s="504" t="s">
        <v>163</v>
      </c>
      <c r="O3" s="501"/>
    </row>
    <row r="5" spans="1:18" s="505" customFormat="1" ht="24" customHeight="1">
      <c r="A5" s="1081" t="s">
        <v>304</v>
      </c>
      <c r="B5" s="1081"/>
      <c r="C5" s="1081"/>
      <c r="D5" s="1081"/>
      <c r="E5" s="1081"/>
      <c r="F5" s="1081"/>
      <c r="G5" s="1081"/>
      <c r="H5" s="1081"/>
      <c r="I5" s="1081"/>
      <c r="J5" s="1081"/>
      <c r="K5" s="1081"/>
      <c r="L5" s="1081"/>
      <c r="M5" s="1081"/>
      <c r="N5" s="1081"/>
      <c r="O5" s="1081"/>
      <c r="P5" s="572"/>
    </row>
    <row r="6" spans="1:18" s="505" customFormat="1" ht="21" customHeight="1">
      <c r="A6" s="1082" t="s">
        <v>1109</v>
      </c>
      <c r="B6" s="1082"/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M6" s="1082"/>
      <c r="N6" s="1082"/>
      <c r="O6" s="1082"/>
      <c r="P6" s="572"/>
    </row>
    <row r="7" spans="1:18" s="505" customFormat="1" ht="21" customHeight="1">
      <c r="A7" s="1083" t="s">
        <v>349</v>
      </c>
      <c r="B7" s="1083"/>
      <c r="C7" s="1083"/>
      <c r="D7" s="1083"/>
      <c r="E7" s="1083"/>
      <c r="F7" s="1083"/>
      <c r="G7" s="1083"/>
      <c r="H7" s="1083"/>
      <c r="I7" s="1083"/>
      <c r="J7" s="1083"/>
      <c r="K7" s="1083"/>
      <c r="L7" s="1083"/>
      <c r="M7" s="1083"/>
      <c r="N7" s="1083"/>
      <c r="O7" s="1083"/>
      <c r="P7" s="572"/>
    </row>
    <row r="8" spans="1:18">
      <c r="D8" s="500"/>
    </row>
    <row r="9" spans="1:18" s="506" customFormat="1" ht="24" customHeight="1">
      <c r="A9" s="1084" t="s">
        <v>251</v>
      </c>
      <c r="B9" s="1087" t="s">
        <v>305</v>
      </c>
      <c r="C9" s="1088"/>
      <c r="D9" s="1088"/>
      <c r="E9" s="1088"/>
      <c r="F9" s="1088"/>
      <c r="G9" s="1088"/>
      <c r="H9" s="1089"/>
      <c r="I9" s="1087" t="s">
        <v>306</v>
      </c>
      <c r="J9" s="1088"/>
      <c r="K9" s="1088"/>
      <c r="L9" s="1089"/>
      <c r="M9" s="1090" t="s">
        <v>307</v>
      </c>
      <c r="N9" s="1090"/>
      <c r="O9" s="1090"/>
      <c r="P9" s="573"/>
    </row>
    <row r="10" spans="1:18" s="506" customFormat="1" ht="24" customHeight="1">
      <c r="A10" s="1085"/>
      <c r="B10" s="1087" t="s">
        <v>308</v>
      </c>
      <c r="C10" s="1089"/>
      <c r="D10" s="1084" t="s">
        <v>309</v>
      </c>
      <c r="E10" s="1084" t="s">
        <v>310</v>
      </c>
      <c r="F10" s="1084" t="s">
        <v>311</v>
      </c>
      <c r="G10" s="1084" t="s">
        <v>312</v>
      </c>
      <c r="H10" s="1084" t="s">
        <v>313</v>
      </c>
      <c r="I10" s="1087" t="s">
        <v>314</v>
      </c>
      <c r="J10" s="1089"/>
      <c r="K10" s="1091" t="s">
        <v>315</v>
      </c>
      <c r="L10" s="1084" t="s">
        <v>316</v>
      </c>
      <c r="M10" s="1090" t="s">
        <v>308</v>
      </c>
      <c r="N10" s="1090"/>
      <c r="O10" s="1090" t="s">
        <v>317</v>
      </c>
      <c r="P10" s="573"/>
    </row>
    <row r="11" spans="1:18" s="506" customFormat="1" ht="55.5" customHeight="1">
      <c r="A11" s="1086"/>
      <c r="B11" s="507" t="s">
        <v>318</v>
      </c>
      <c r="C11" s="507" t="s">
        <v>252</v>
      </c>
      <c r="D11" s="1086"/>
      <c r="E11" s="1086"/>
      <c r="F11" s="1086"/>
      <c r="G11" s="1086"/>
      <c r="H11" s="1086"/>
      <c r="I11" s="507" t="s">
        <v>319</v>
      </c>
      <c r="J11" s="507" t="s">
        <v>320</v>
      </c>
      <c r="K11" s="1092"/>
      <c r="L11" s="1086"/>
      <c r="M11" s="507" t="s">
        <v>15</v>
      </c>
      <c r="N11" s="507" t="s">
        <v>252</v>
      </c>
      <c r="O11" s="1090"/>
      <c r="P11" s="573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133</v>
      </c>
      <c r="G12" s="508" t="s">
        <v>321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322</v>
      </c>
      <c r="N12" s="508" t="s">
        <v>323</v>
      </c>
      <c r="O12" s="508" t="s">
        <v>324</v>
      </c>
      <c r="P12" s="574"/>
    </row>
    <row r="13" spans="1:18" s="510" customFormat="1" ht="21.75" customHeight="1">
      <c r="A13" s="535" t="s">
        <v>322</v>
      </c>
      <c r="B13" s="537" t="s">
        <v>348</v>
      </c>
      <c r="C13" s="535"/>
      <c r="D13" s="535"/>
      <c r="E13" s="535"/>
      <c r="F13" s="535"/>
      <c r="G13" s="576"/>
      <c r="H13" s="542"/>
      <c r="I13" s="542"/>
      <c r="J13" s="542"/>
      <c r="K13" s="542"/>
      <c r="L13" s="8"/>
      <c r="M13" s="535"/>
      <c r="N13" s="535"/>
      <c r="O13" s="182"/>
      <c r="P13" s="574" t="str">
        <f>IF(D13='THE-TS'!$D$11,"x","")</f>
        <v/>
      </c>
    </row>
    <row r="14" spans="1:18" ht="21.75" customHeight="1">
      <c r="A14" s="536">
        <v>1</v>
      </c>
      <c r="B14" s="546" t="s">
        <v>450</v>
      </c>
      <c r="C14" s="512">
        <v>40682</v>
      </c>
      <c r="D14" s="210" t="s">
        <v>423</v>
      </c>
      <c r="E14" s="452" t="s">
        <v>325</v>
      </c>
      <c r="F14" s="545" t="s">
        <v>513</v>
      </c>
      <c r="G14" s="576" t="s">
        <v>490</v>
      </c>
      <c r="H14" s="254">
        <v>18000000</v>
      </c>
      <c r="I14" s="254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32"/>
      <c r="N14" s="452"/>
      <c r="O14" s="182"/>
      <c r="P14" s="574" t="str">
        <f>IF(D14='THE-TS'!$D$11,"x","")</f>
        <v>x</v>
      </c>
      <c r="Q14" s="293"/>
      <c r="R14" s="293"/>
    </row>
    <row r="15" spans="1:18" ht="21.75" customHeight="1">
      <c r="A15" s="536">
        <v>2</v>
      </c>
      <c r="B15" s="545" t="s">
        <v>453</v>
      </c>
      <c r="C15" s="512">
        <v>40686</v>
      </c>
      <c r="D15" s="210" t="s">
        <v>424</v>
      </c>
      <c r="E15" s="452" t="s">
        <v>325</v>
      </c>
      <c r="F15" s="545" t="s">
        <v>513</v>
      </c>
      <c r="G15" s="576" t="s">
        <v>491</v>
      </c>
      <c r="H15" s="254">
        <v>27000000</v>
      </c>
      <c r="I15" s="254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32"/>
      <c r="N15" s="452"/>
      <c r="O15" s="182"/>
      <c r="P15" s="574" t="str">
        <f>IF(D15='THE-TS'!$D$11,"x","")</f>
        <v/>
      </c>
      <c r="Q15" s="293"/>
      <c r="R15" s="293"/>
    </row>
    <row r="16" spans="1:18" ht="21.75" customHeight="1">
      <c r="A16" s="536">
        <v>3</v>
      </c>
      <c r="B16" s="545" t="s">
        <v>367</v>
      </c>
      <c r="C16" s="512">
        <v>40710</v>
      </c>
      <c r="D16" s="210" t="s">
        <v>425</v>
      </c>
      <c r="E16" s="452" t="s">
        <v>325</v>
      </c>
      <c r="F16" s="545" t="s">
        <v>514</v>
      </c>
      <c r="G16" s="576" t="s">
        <v>492</v>
      </c>
      <c r="H16" s="254">
        <v>320000000</v>
      </c>
      <c r="I16" s="254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32"/>
      <c r="N16" s="182"/>
      <c r="O16" s="182"/>
      <c r="P16" s="574" t="str">
        <f>IF(D16='THE-TS'!$D$11,"x","")</f>
        <v/>
      </c>
      <c r="Q16" s="293"/>
      <c r="R16" s="293"/>
    </row>
    <row r="17" spans="1:18" ht="21.75" customHeight="1">
      <c r="A17" s="515"/>
      <c r="B17" s="538"/>
      <c r="C17" s="539"/>
      <c r="D17" s="540"/>
      <c r="E17" s="516"/>
      <c r="F17" s="539"/>
      <c r="G17" s="538"/>
      <c r="H17" s="543"/>
      <c r="I17" s="543"/>
      <c r="J17" s="300"/>
      <c r="K17" s="300"/>
      <c r="L17" s="300"/>
      <c r="M17" s="516"/>
      <c r="N17" s="516"/>
      <c r="O17" s="516"/>
      <c r="P17" s="574" t="str">
        <f>IF(D17='THE-TS'!$D$11,"x","")</f>
        <v/>
      </c>
      <c r="R17" s="533"/>
    </row>
    <row r="18" spans="1:18" s="521" customFormat="1" ht="21.75" customHeight="1">
      <c r="A18" s="519"/>
      <c r="B18" s="520"/>
      <c r="C18" s="519"/>
      <c r="D18" s="519" t="s">
        <v>326</v>
      </c>
      <c r="E18" s="519" t="s">
        <v>19</v>
      </c>
      <c r="F18" s="519" t="s">
        <v>19</v>
      </c>
      <c r="G18" s="519" t="s">
        <v>19</v>
      </c>
      <c r="H18" s="544">
        <f>SUM(H14:H17)</f>
        <v>365000000</v>
      </c>
      <c r="I18" s="544"/>
      <c r="J18" s="544">
        <f t="shared" ref="J18:L18" si="2">SUM(J14:J17)</f>
        <v>73000000</v>
      </c>
      <c r="K18" s="544">
        <f t="shared" si="2"/>
        <v>37250000</v>
      </c>
      <c r="L18" s="544">
        <f t="shared" si="2"/>
        <v>110250000</v>
      </c>
      <c r="M18" s="580" t="s">
        <v>19</v>
      </c>
      <c r="N18" s="580" t="s">
        <v>19</v>
      </c>
      <c r="O18" s="580" t="s">
        <v>19</v>
      </c>
      <c r="P18" s="574" t="str">
        <f>IF(D18='THE-TS'!$D$11,"x","")</f>
        <v/>
      </c>
    </row>
    <row r="19" spans="1:18" ht="6.75" customHeight="1">
      <c r="A19" s="453"/>
      <c r="B19" s="453"/>
      <c r="C19" s="522"/>
      <c r="D19" s="453"/>
      <c r="E19" s="522"/>
      <c r="F19" s="522"/>
      <c r="G19" s="522"/>
      <c r="H19" s="453"/>
      <c r="I19" s="453"/>
      <c r="J19" s="453"/>
      <c r="K19" s="523"/>
      <c r="L19" s="453"/>
      <c r="M19" s="453"/>
      <c r="N19" s="453"/>
      <c r="O19" s="453"/>
      <c r="P19" s="574" t="str">
        <f>IF(D19='THE-TS'!$D$11,"x","")</f>
        <v/>
      </c>
    </row>
    <row r="20" spans="1:18" ht="13.5" customHeight="1">
      <c r="A20" s="453"/>
      <c r="B20" s="453"/>
      <c r="C20" s="522"/>
      <c r="D20" s="453" t="s">
        <v>327</v>
      </c>
      <c r="E20" s="453"/>
      <c r="F20" s="522"/>
      <c r="G20" s="453"/>
      <c r="H20" s="501"/>
      <c r="I20" s="501"/>
      <c r="J20" s="581"/>
      <c r="L20" s="501"/>
      <c r="M20" s="453"/>
      <c r="N20" s="453"/>
      <c r="O20" s="453"/>
      <c r="P20" s="574" t="str">
        <f>IF(D20='THE-TS'!$D$11,"x","")</f>
        <v/>
      </c>
    </row>
    <row r="21" spans="1:18" ht="13.5" customHeight="1">
      <c r="A21" s="453"/>
      <c r="B21" s="453"/>
      <c r="C21" s="522"/>
      <c r="D21" s="453" t="s">
        <v>1110</v>
      </c>
      <c r="E21" s="453"/>
      <c r="F21" s="522"/>
      <c r="G21" s="453"/>
      <c r="H21" s="533"/>
      <c r="I21" s="453"/>
      <c r="J21" s="541"/>
      <c r="K21" s="523"/>
      <c r="L21" s="453"/>
      <c r="M21" s="453"/>
      <c r="N21" s="453"/>
      <c r="O21" s="453"/>
      <c r="P21" s="574" t="str">
        <f>IF(D21='THE-TS'!$D$11,"x","")</f>
        <v/>
      </c>
    </row>
    <row r="22" spans="1:18" ht="13.5" customHeight="1">
      <c r="K22" s="524"/>
      <c r="L22" s="504" t="s">
        <v>1108</v>
      </c>
      <c r="P22" s="574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328</v>
      </c>
      <c r="I23" s="525"/>
      <c r="K23" s="522"/>
      <c r="L23" s="522" t="s">
        <v>110</v>
      </c>
      <c r="P23" s="574" t="str">
        <f>IF(D23='THE-TS'!$D$11,"x","")</f>
        <v/>
      </c>
    </row>
    <row r="24" spans="1:18" ht="13.5" customHeight="1">
      <c r="B24" s="500"/>
      <c r="D24" s="500"/>
      <c r="P24" s="574" t="str">
        <f>IF(D24='THE-TS'!$D$11,"x","")</f>
        <v/>
      </c>
    </row>
    <row r="25" spans="1:18" ht="13.5" customHeight="1">
      <c r="H25" s="526"/>
      <c r="J25" s="526"/>
      <c r="L25" s="526"/>
      <c r="P25" s="574" t="str">
        <f>IF(D25='THE-TS'!$D$11,"x","")</f>
        <v/>
      </c>
    </row>
    <row r="26" spans="1:18" ht="13.5" customHeight="1">
      <c r="H26" s="527"/>
      <c r="P26" s="574" t="str">
        <f>IF(D26='THE-TS'!$D$11,"x","")</f>
        <v/>
      </c>
    </row>
    <row r="27" spans="1:18" ht="13.5" customHeight="1">
      <c r="H27" s="527"/>
      <c r="J27" s="526"/>
      <c r="P27" s="574" t="str">
        <f>IF(D27='THE-TS'!$D$11,"x","")</f>
        <v/>
      </c>
    </row>
    <row r="28" spans="1:18" ht="13.5" customHeight="1">
      <c r="H28" s="527"/>
      <c r="P28" s="574" t="str">
        <f>IF(D28='THE-TS'!$D$11,"x","")</f>
        <v/>
      </c>
    </row>
    <row r="29" spans="1:18" ht="13.5" customHeight="1">
      <c r="H29" s="527"/>
      <c r="P29" s="574" t="str">
        <f>IF(D29='THE-TS'!$D$11,"x","")</f>
        <v/>
      </c>
    </row>
    <row r="30" spans="1:18" s="528" customFormat="1" ht="13.5" customHeight="1">
      <c r="C30" s="529"/>
      <c r="D30" s="529" t="s">
        <v>158</v>
      </c>
      <c r="F30" s="529"/>
      <c r="H30" s="530"/>
      <c r="K30" s="531"/>
      <c r="L30" s="528" t="s">
        <v>104</v>
      </c>
      <c r="P30" s="574" t="str">
        <f>IF(D30='THE-TS'!$D$11,"x","")</f>
        <v/>
      </c>
    </row>
    <row r="31" spans="1:18" ht="13.5">
      <c r="P31" s="574" t="str">
        <f>IF(D31='THE-TS'!$D$11,"x","")</f>
        <v/>
      </c>
    </row>
    <row r="32" spans="1:18" ht="13.5" customHeight="1">
      <c r="H32" s="527"/>
      <c r="P32" s="574" t="str">
        <f>IF(D32='THE-TS'!$D$11,"x","")</f>
        <v/>
      </c>
    </row>
    <row r="33" spans="1:16" ht="13.5">
      <c r="P33" s="574" t="str">
        <f>IF(D33='THE-TS'!$D$11,"x","")</f>
        <v/>
      </c>
    </row>
    <row r="34" spans="1:16" ht="13.5">
      <c r="P34" s="574" t="str">
        <f>IF(D34='THE-TS'!$D$11,"x","")</f>
        <v/>
      </c>
    </row>
    <row r="35" spans="1:16" ht="13.5">
      <c r="P35" s="574" t="str">
        <f>IF(D35='THE-TS'!$D$11,"x","")</f>
        <v/>
      </c>
    </row>
    <row r="36" spans="1:16" ht="13.5">
      <c r="A36" s="498" t="s">
        <v>301</v>
      </c>
      <c r="L36" s="502"/>
      <c r="M36" s="502"/>
      <c r="N36" s="503" t="s">
        <v>302</v>
      </c>
      <c r="O36" s="502"/>
      <c r="P36" s="574" t="str">
        <f>IF(D36='THE-TS'!$D$11,"x","")</f>
        <v/>
      </c>
    </row>
    <row r="37" spans="1:16" ht="13.5">
      <c r="A37" s="498" t="s">
        <v>303</v>
      </c>
      <c r="L37" s="501"/>
      <c r="M37" s="501"/>
      <c r="N37" s="504" t="s">
        <v>203</v>
      </c>
      <c r="O37" s="501"/>
      <c r="P37" s="574" t="str">
        <f>IF(D37='THE-TS'!$D$11,"x","")</f>
        <v/>
      </c>
    </row>
    <row r="38" spans="1:16" ht="13.5">
      <c r="L38" s="501"/>
      <c r="M38" s="501"/>
      <c r="N38" s="504" t="s">
        <v>163</v>
      </c>
      <c r="O38" s="501"/>
      <c r="P38" s="574" t="str">
        <f>IF(D38='THE-TS'!$D$11,"x","")</f>
        <v/>
      </c>
    </row>
    <row r="39" spans="1:16" ht="13.5">
      <c r="P39" s="574" t="str">
        <f>IF(D39='THE-TS'!$D$11,"x","")</f>
        <v/>
      </c>
    </row>
    <row r="40" spans="1:16" s="583" customFormat="1" ht="28.5" customHeight="1">
      <c r="A40" s="1081" t="s">
        <v>304</v>
      </c>
      <c r="B40" s="1081"/>
      <c r="C40" s="1081"/>
      <c r="D40" s="1081"/>
      <c r="E40" s="1081"/>
      <c r="F40" s="1081"/>
      <c r="G40" s="1081"/>
      <c r="H40" s="1081"/>
      <c r="I40" s="1081"/>
      <c r="J40" s="1081"/>
      <c r="K40" s="1081"/>
      <c r="L40" s="1081"/>
      <c r="M40" s="1081"/>
      <c r="N40" s="1081"/>
      <c r="O40" s="1081"/>
      <c r="P40" s="582" t="str">
        <f>IF(D40='THE-TS'!$D$11,"x","")</f>
        <v/>
      </c>
    </row>
    <row r="41" spans="1:16" s="505" customFormat="1" ht="19.5" customHeight="1">
      <c r="A41" s="1082" t="s">
        <v>345</v>
      </c>
      <c r="B41" s="1082"/>
      <c r="C41" s="1082"/>
      <c r="D41" s="1082"/>
      <c r="E41" s="1082"/>
      <c r="F41" s="1082"/>
      <c r="G41" s="1082"/>
      <c r="H41" s="1082"/>
      <c r="I41" s="1082"/>
      <c r="J41" s="1082"/>
      <c r="K41" s="1082"/>
      <c r="L41" s="1082"/>
      <c r="M41" s="1082"/>
      <c r="N41" s="1082"/>
      <c r="O41" s="1082"/>
      <c r="P41" s="574" t="str">
        <f>IF(D41='THE-TS'!$D$11,"x","")</f>
        <v/>
      </c>
    </row>
    <row r="42" spans="1:16" s="505" customFormat="1" ht="19.5" customHeight="1">
      <c r="A42" s="1083" t="s">
        <v>350</v>
      </c>
      <c r="B42" s="1083"/>
      <c r="C42" s="1083"/>
      <c r="D42" s="1083"/>
      <c r="E42" s="1083"/>
      <c r="F42" s="1083"/>
      <c r="G42" s="1083"/>
      <c r="H42" s="1083"/>
      <c r="I42" s="1083"/>
      <c r="J42" s="1083"/>
      <c r="K42" s="1083"/>
      <c r="L42" s="1083"/>
      <c r="M42" s="1083"/>
      <c r="N42" s="1083"/>
      <c r="O42" s="1083"/>
      <c r="P42" s="574" t="str">
        <f>IF(D42='THE-TS'!$D$11,"x","")</f>
        <v/>
      </c>
    </row>
    <row r="43" spans="1:16" ht="13.5">
      <c r="D43" s="500"/>
      <c r="P43" s="574" t="str">
        <f>IF(D43='THE-TS'!$D$11,"x","")</f>
        <v/>
      </c>
    </row>
    <row r="44" spans="1:16" s="506" customFormat="1" ht="17.25" customHeight="1">
      <c r="A44" s="1084" t="s">
        <v>251</v>
      </c>
      <c r="B44" s="1087" t="s">
        <v>305</v>
      </c>
      <c r="C44" s="1088"/>
      <c r="D44" s="1088"/>
      <c r="E44" s="1088"/>
      <c r="F44" s="1088"/>
      <c r="G44" s="1088"/>
      <c r="H44" s="1089"/>
      <c r="I44" s="1087" t="s">
        <v>306</v>
      </c>
      <c r="J44" s="1088"/>
      <c r="K44" s="1088"/>
      <c r="L44" s="1089"/>
      <c r="M44" s="1090" t="s">
        <v>307</v>
      </c>
      <c r="N44" s="1090"/>
      <c r="O44" s="1090"/>
      <c r="P44" s="574" t="str">
        <f>IF(D44='THE-TS'!$D$11,"x","")</f>
        <v/>
      </c>
    </row>
    <row r="45" spans="1:16" s="506" customFormat="1" ht="17.25" customHeight="1">
      <c r="A45" s="1085"/>
      <c r="B45" s="1087" t="s">
        <v>308</v>
      </c>
      <c r="C45" s="1089"/>
      <c r="D45" s="1084" t="s">
        <v>309</v>
      </c>
      <c r="E45" s="1084" t="s">
        <v>310</v>
      </c>
      <c r="F45" s="1084" t="s">
        <v>311</v>
      </c>
      <c r="G45" s="1084" t="s">
        <v>312</v>
      </c>
      <c r="H45" s="1084" t="s">
        <v>313</v>
      </c>
      <c r="I45" s="1087" t="s">
        <v>314</v>
      </c>
      <c r="J45" s="1089"/>
      <c r="K45" s="1091" t="s">
        <v>315</v>
      </c>
      <c r="L45" s="1084" t="s">
        <v>316</v>
      </c>
      <c r="M45" s="1090" t="s">
        <v>308</v>
      </c>
      <c r="N45" s="1090"/>
      <c r="O45" s="1090" t="s">
        <v>317</v>
      </c>
      <c r="P45" s="574" t="str">
        <f>IF(D45='THE-TS'!$D$11,"x","")</f>
        <v/>
      </c>
    </row>
    <row r="46" spans="1:16" s="506" customFormat="1" ht="55.5" customHeight="1">
      <c r="A46" s="1086"/>
      <c r="B46" s="507" t="s">
        <v>318</v>
      </c>
      <c r="C46" s="507" t="s">
        <v>252</v>
      </c>
      <c r="D46" s="1086"/>
      <c r="E46" s="1086"/>
      <c r="F46" s="1086"/>
      <c r="G46" s="1086"/>
      <c r="H46" s="1086"/>
      <c r="I46" s="507" t="s">
        <v>319</v>
      </c>
      <c r="J46" s="507" t="s">
        <v>320</v>
      </c>
      <c r="K46" s="1092"/>
      <c r="L46" s="1086"/>
      <c r="M46" s="507" t="s">
        <v>15</v>
      </c>
      <c r="N46" s="507" t="s">
        <v>252</v>
      </c>
      <c r="O46" s="1090"/>
      <c r="P46" s="574" t="str">
        <f>IF(D46='THE-TS'!$D$11,"x","")</f>
        <v/>
      </c>
    </row>
    <row r="47" spans="1:16" s="510" customFormat="1" ht="13.5">
      <c r="A47" s="508" t="s">
        <v>2</v>
      </c>
      <c r="B47" s="508" t="s">
        <v>3</v>
      </c>
      <c r="C47" s="508" t="s">
        <v>4</v>
      </c>
      <c r="D47" s="508" t="s">
        <v>5</v>
      </c>
      <c r="E47" s="508" t="s">
        <v>6</v>
      </c>
      <c r="F47" s="508" t="s">
        <v>133</v>
      </c>
      <c r="G47" s="508" t="s">
        <v>321</v>
      </c>
      <c r="H47" s="508">
        <v>1</v>
      </c>
      <c r="I47" s="508">
        <v>2</v>
      </c>
      <c r="J47" s="508">
        <v>3</v>
      </c>
      <c r="K47" s="509"/>
      <c r="L47" s="508">
        <v>4</v>
      </c>
      <c r="M47" s="508" t="s">
        <v>322</v>
      </c>
      <c r="N47" s="508" t="s">
        <v>323</v>
      </c>
      <c r="O47" s="508" t="s">
        <v>324</v>
      </c>
      <c r="P47" s="574" t="str">
        <f>IF(D47='THE-TS'!$D$11,"x","")</f>
        <v/>
      </c>
    </row>
    <row r="48" spans="1:16" ht="15.75" customHeight="1">
      <c r="A48" s="511">
        <v>1</v>
      </c>
      <c r="B48" s="545"/>
      <c r="C48" s="512"/>
      <c r="D48" s="210"/>
      <c r="E48" s="451"/>
      <c r="F48" s="546"/>
      <c r="G48" s="576"/>
      <c r="H48" s="210"/>
      <c r="I48" s="514"/>
      <c r="J48" s="8"/>
      <c r="K48" s="513"/>
      <c r="L48" s="513"/>
      <c r="M48" s="451"/>
      <c r="N48" s="451"/>
      <c r="O48" s="182"/>
      <c r="P48" s="574" t="str">
        <f>IF(D48='THE-TS'!$D$11,"x","")</f>
        <v/>
      </c>
    </row>
    <row r="49" spans="1:16" ht="15.75" customHeight="1">
      <c r="A49" s="515"/>
      <c r="B49" s="516"/>
      <c r="C49" s="515"/>
      <c r="D49" s="516"/>
      <c r="E49" s="516"/>
      <c r="F49" s="515"/>
      <c r="G49" s="516"/>
      <c r="H49" s="516"/>
      <c r="I49" s="517"/>
      <c r="J49" s="516"/>
      <c r="K49" s="518"/>
      <c r="L49" s="516"/>
      <c r="M49" s="516"/>
      <c r="N49" s="516"/>
      <c r="O49" s="516"/>
      <c r="P49" s="574" t="str">
        <f>IF(D49='THE-TS'!$D$11,"x","")</f>
        <v/>
      </c>
    </row>
    <row r="50" spans="1:16" s="521" customFormat="1" ht="15.75" customHeight="1">
      <c r="A50" s="519"/>
      <c r="B50" s="520"/>
      <c r="C50" s="519"/>
      <c r="D50" s="519" t="s">
        <v>326</v>
      </c>
      <c r="E50" s="520"/>
      <c r="F50" s="519"/>
      <c r="G50" s="520"/>
      <c r="H50" s="544">
        <f>SUM(H48:H49)</f>
        <v>0</v>
      </c>
      <c r="I50" s="544"/>
      <c r="J50" s="544">
        <f>SUM(J48:J49)</f>
        <v>0</v>
      </c>
      <c r="K50" s="544">
        <f>SUM(K48:K49)</f>
        <v>0</v>
      </c>
      <c r="L50" s="544">
        <f>SUM(L48:L49)</f>
        <v>0</v>
      </c>
      <c r="M50" s="544"/>
      <c r="N50" s="544"/>
      <c r="O50" s="544"/>
      <c r="P50" s="574" t="str">
        <f>IF(D50='THE-TS'!$D$11,"x","")</f>
        <v/>
      </c>
    </row>
    <row r="51" spans="1:16" ht="6.75" customHeight="1">
      <c r="A51" s="453"/>
      <c r="B51" s="453"/>
      <c r="C51" s="522"/>
      <c r="D51" s="453"/>
      <c r="E51" s="453"/>
      <c r="F51" s="522"/>
      <c r="G51" s="453"/>
      <c r="H51" s="453"/>
      <c r="I51" s="453"/>
      <c r="J51" s="453"/>
      <c r="K51" s="523"/>
      <c r="L51" s="453"/>
      <c r="M51" s="453"/>
      <c r="N51" s="453"/>
      <c r="O51" s="453"/>
    </row>
    <row r="52" spans="1:16">
      <c r="A52" s="453"/>
      <c r="B52" s="453"/>
      <c r="C52" s="522"/>
      <c r="D52" s="453" t="s">
        <v>327</v>
      </c>
      <c r="E52" s="453"/>
      <c r="F52" s="522"/>
      <c r="G52" s="453"/>
      <c r="H52" s="453"/>
      <c r="I52" s="453"/>
      <c r="J52" s="453"/>
      <c r="K52" s="523"/>
      <c r="L52" s="453"/>
      <c r="M52" s="453"/>
      <c r="N52" s="453"/>
      <c r="O52" s="453"/>
    </row>
    <row r="53" spans="1:16">
      <c r="A53" s="453"/>
      <c r="B53" s="453"/>
      <c r="C53" s="522"/>
      <c r="D53" s="453" t="s">
        <v>346</v>
      </c>
      <c r="E53" s="453"/>
      <c r="F53" s="522"/>
      <c r="G53" s="453"/>
      <c r="I53" s="453"/>
      <c r="J53" s="453"/>
      <c r="K53" s="523"/>
      <c r="L53" s="453"/>
      <c r="M53" s="453"/>
      <c r="N53" s="453"/>
      <c r="O53" s="453"/>
    </row>
    <row r="54" spans="1:16">
      <c r="K54" s="504"/>
      <c r="L54" s="504" t="s">
        <v>347</v>
      </c>
    </row>
    <row r="55" spans="1:16" ht="16.5" customHeight="1">
      <c r="B55" s="500"/>
      <c r="D55" s="500" t="s">
        <v>11</v>
      </c>
      <c r="F55" s="500" t="s">
        <v>328</v>
      </c>
      <c r="I55" s="525"/>
      <c r="K55" s="522"/>
      <c r="L55" s="522" t="s">
        <v>110</v>
      </c>
    </row>
    <row r="58" spans="1:16">
      <c r="L58" s="526"/>
    </row>
    <row r="59" spans="1:16">
      <c r="D59" s="526"/>
    </row>
    <row r="60" spans="1:16">
      <c r="D60" s="501"/>
      <c r="L60" s="526"/>
    </row>
    <row r="61" spans="1:16">
      <c r="D61" s="533"/>
      <c r="L61" s="526"/>
    </row>
    <row r="62" spans="1:16" s="528" customFormat="1" ht="13.5" customHeight="1">
      <c r="C62" s="529"/>
      <c r="D62" s="529" t="s">
        <v>158</v>
      </c>
      <c r="F62" s="529"/>
      <c r="H62" s="530"/>
      <c r="K62" s="531"/>
      <c r="L62" s="528" t="s">
        <v>104</v>
      </c>
      <c r="P62" s="575"/>
    </row>
  </sheetData>
  <mergeCells count="36"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  <mergeCell ref="K10:K11"/>
    <mergeCell ref="L10:L11"/>
    <mergeCell ref="A40:O40"/>
    <mergeCell ref="A41:O41"/>
    <mergeCell ref="A42:O42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H21" sqref="H21"/>
    </sheetView>
  </sheetViews>
  <sheetFormatPr defaultRowHeight="12.75"/>
  <cols>
    <col min="1" max="1" width="5" style="548" customWidth="1"/>
    <col min="2" max="2" width="10.140625" style="548" customWidth="1"/>
    <col min="3" max="3" width="11.5703125" style="548" customWidth="1"/>
    <col min="4" max="4" width="28.7109375" style="548" customWidth="1"/>
    <col min="5" max="5" width="13.28515625" style="548" customWidth="1"/>
    <col min="6" max="6" width="9.140625" style="548"/>
    <col min="7" max="7" width="14" style="548" customWidth="1"/>
    <col min="8" max="8" width="14.7109375" style="548" customWidth="1"/>
    <col min="9" max="10" width="9.140625" style="548"/>
    <col min="11" max="11" width="13.85546875" style="548" customWidth="1"/>
    <col min="12" max="16384" width="9.140625" style="548"/>
  </cols>
  <sheetData>
    <row r="1" spans="1:11" hidden="1"/>
    <row r="2" spans="1:11">
      <c r="A2" s="637" t="str">
        <f>TH!A1</f>
        <v>Đơn vị: CÔNG TY TNHH SX TM KIM DUNG PHÁT</v>
      </c>
      <c r="B2" s="547"/>
      <c r="C2" s="547"/>
      <c r="D2" s="547"/>
      <c r="E2" s="503"/>
      <c r="F2" s="503"/>
      <c r="G2" s="503" t="s">
        <v>329</v>
      </c>
      <c r="H2" s="503"/>
    </row>
    <row r="3" spans="1:11">
      <c r="A3" s="564" t="str">
        <f>TH!A2</f>
        <v>Địa chỉ: 1A227/1 Ấp 1, Phạm Văn Hai, Bình Chánh, TPHCM</v>
      </c>
      <c r="B3" s="547"/>
      <c r="C3" s="547"/>
      <c r="D3" s="547"/>
      <c r="E3" s="504"/>
      <c r="F3" s="504"/>
      <c r="G3" s="504" t="s">
        <v>203</v>
      </c>
      <c r="H3" s="504"/>
    </row>
    <row r="4" spans="1:11">
      <c r="A4" s="500"/>
      <c r="B4" s="500"/>
      <c r="C4" s="504"/>
      <c r="D4" s="504"/>
      <c r="E4" s="504"/>
      <c r="F4" s="504"/>
      <c r="G4" s="504" t="s">
        <v>163</v>
      </c>
      <c r="H4" s="504"/>
    </row>
    <row r="5" spans="1:11">
      <c r="A5" s="500"/>
      <c r="B5" s="500"/>
      <c r="C5" s="504"/>
      <c r="D5" s="504"/>
      <c r="E5" s="504"/>
      <c r="F5" s="504"/>
      <c r="G5" s="504"/>
      <c r="H5" s="504"/>
    </row>
    <row r="6" spans="1:11" ht="23.25" customHeight="1" thickBot="1">
      <c r="A6" s="1104" t="s">
        <v>330</v>
      </c>
      <c r="B6" s="1104"/>
      <c r="C6" s="1104"/>
      <c r="D6" s="1104"/>
      <c r="E6" s="1104"/>
      <c r="F6" s="1104"/>
      <c r="G6" s="1104"/>
      <c r="H6" s="1104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65" t="s">
        <v>351</v>
      </c>
      <c r="K7" s="566" t="s">
        <v>357</v>
      </c>
    </row>
    <row r="8" spans="1:11" ht="17.25" customHeight="1">
      <c r="A8" s="1106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6"/>
      <c r="C8" s="1106"/>
      <c r="D8" s="1106"/>
      <c r="E8" s="1106"/>
      <c r="F8" s="1106"/>
      <c r="G8" s="1106"/>
      <c r="H8" s="1106"/>
    </row>
    <row r="9" spans="1:11" ht="12" customHeight="1">
      <c r="A9" s="500"/>
      <c r="B9" s="500"/>
      <c r="C9" s="500"/>
      <c r="D9" s="500"/>
      <c r="E9" s="500"/>
      <c r="F9" s="500"/>
      <c r="G9" s="504"/>
      <c r="H9" s="504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352</v>
      </c>
      <c r="B11" s="499"/>
      <c r="C11" s="499"/>
      <c r="D11" s="499" t="s">
        <v>423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353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331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355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7" t="s">
        <v>354</v>
      </c>
      <c r="B16" s="567"/>
      <c r="C16" s="567"/>
      <c r="D16" s="567"/>
      <c r="E16" s="567"/>
      <c r="F16" s="567"/>
      <c r="G16" s="567"/>
      <c r="H16" s="567"/>
    </row>
    <row r="17" spans="1:8" s="561" customFormat="1" ht="18" customHeight="1">
      <c r="A17" s="1094" t="s">
        <v>127</v>
      </c>
      <c r="B17" s="1095"/>
      <c r="C17" s="1098" t="s">
        <v>332</v>
      </c>
      <c r="D17" s="1099"/>
      <c r="E17" s="1100"/>
      <c r="F17" s="1101" t="s">
        <v>333</v>
      </c>
      <c r="G17" s="1102"/>
      <c r="H17" s="1103"/>
    </row>
    <row r="18" spans="1:8" s="561" customFormat="1" ht="28.5" customHeight="1">
      <c r="A18" s="1096"/>
      <c r="B18" s="1097"/>
      <c r="C18" s="534" t="s">
        <v>334</v>
      </c>
      <c r="D18" s="534" t="s">
        <v>0</v>
      </c>
      <c r="E18" s="534" t="s">
        <v>335</v>
      </c>
      <c r="F18" s="534" t="s">
        <v>336</v>
      </c>
      <c r="G18" s="534" t="s">
        <v>337</v>
      </c>
      <c r="H18" s="534" t="s">
        <v>338</v>
      </c>
    </row>
    <row r="19" spans="1:8" s="563" customFormat="1">
      <c r="A19" s="1107" t="s">
        <v>2</v>
      </c>
      <c r="B19" s="1107"/>
      <c r="C19" s="562" t="s">
        <v>3</v>
      </c>
      <c r="D19" s="562" t="s">
        <v>4</v>
      </c>
      <c r="E19" s="562">
        <v>1</v>
      </c>
      <c r="F19" s="562">
        <v>2</v>
      </c>
      <c r="G19" s="562">
        <v>3</v>
      </c>
      <c r="H19" s="562">
        <v>4</v>
      </c>
    </row>
    <row r="20" spans="1:8" ht="17.25" customHeight="1">
      <c r="A20" s="469">
        <f ca="1">IF(B20&lt;&gt;"",ROW()-19,"")</f>
        <v>1</v>
      </c>
      <c r="B20" s="549" t="str">
        <f ca="1" xml:space="preserve"> IF(ROWS($1:1)&gt;COUNT(Dong3),"",OFFSET('SO-TS'!G$1,SMALL(Dong3,ROWS($1:1)),))</f>
        <v>SX01/11</v>
      </c>
      <c r="C20" s="549" t="str">
        <f ca="1" xml:space="preserve"> IF(ROWS($1:1)&gt;COUNT(Dong3),"",OFFSET('SO-TS'!F$1,SMALL(Dong3,ROWS($1:1)),))</f>
        <v>06/2011</v>
      </c>
      <c r="D20" s="577" t="str">
        <f ca="1" xml:space="preserve"> IF(ROWS($1:1)&gt;COUNT(Dong3),"",OFFSET('SO-TS'!D$1,SMALL(Dong3,ROWS($1:1)),))</f>
        <v>Máy chap khe khổ 2m</v>
      </c>
      <c r="E20" s="578">
        <f ca="1" xml:space="preserve"> IF(ROWS($1:1)&gt;COUNT(Dong3),"",OFFSET('SO-TS'!H$1,SMALL(Dong3,ROWS($1:1)),))</f>
        <v>18000000</v>
      </c>
      <c r="F20" s="579" t="str">
        <f ca="1" xml:space="preserve"> IF(ROWS($1:1)&gt;COUNT(Dong3),"",RIGHT(OFFSET('SO-TS'!F$1,SMALL(Dong3,ROWS($1:1)),),4))</f>
        <v>2011</v>
      </c>
      <c r="G20" s="84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42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901" t="str">
        <f ca="1" xml:space="preserve"> IF(ROWS($1:2)&gt;COUNT(Dong3),"",OFFSET(#REF!,SMALL(Dong3,ROWS($1:2)),))</f>
        <v/>
      </c>
      <c r="C21" s="901" t="str">
        <f ca="1" xml:space="preserve"> IF(ROWS($1:2)&gt;COUNT(Dong3),"",OFFSET(#REF!,SMALL(Dong3,ROWS($1:2)),))</f>
        <v/>
      </c>
      <c r="D21" s="902" t="str">
        <f ca="1" xml:space="preserve"> IF(ROWS($1:2)&gt;COUNT(Dong3),"",OFFSET(#REF!,SMALL(Dong3,ROWS($1:2)),))</f>
        <v/>
      </c>
      <c r="E21" s="255" t="str">
        <f ca="1" xml:space="preserve"> IF(ROWS($1:2)&gt;COUNT(Dong3),"",OFFSET(#REF!,SMALL(Dong3,ROWS($1:2)),))</f>
        <v/>
      </c>
      <c r="F21" s="903">
        <f ca="1">IF(OR(F20="",(ROW()-19)&gt;OFFSET('SO-TS'!I$1,SMALL(Dong3,ROWS($1:$1)),)+1),"",IF(VALUE(F20)&gt;VALUE(YEAR(NOW())),"",F20+1))</f>
        <v>2012</v>
      </c>
      <c r="G21" s="842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40">
        <f ca="1">IF(G21&lt;&gt;0,H20+G21,0)</f>
        <v>5700000</v>
      </c>
    </row>
    <row r="22" spans="1:8" ht="17.25" customHeight="1">
      <c r="A22" s="6"/>
      <c r="B22" s="901"/>
      <c r="C22" s="901"/>
      <c r="D22" s="902"/>
      <c r="E22" s="255"/>
      <c r="F22" s="903"/>
      <c r="G22" s="840"/>
      <c r="H22" s="840"/>
    </row>
    <row r="23" spans="1:8" ht="17.25" customHeight="1">
      <c r="A23" s="6"/>
      <c r="B23" s="901"/>
      <c r="C23" s="901"/>
      <c r="D23" s="902"/>
      <c r="E23" s="255"/>
      <c r="F23" s="903"/>
      <c r="G23" s="840"/>
      <c r="H23" s="840"/>
    </row>
    <row r="24" spans="1:8" ht="17.25" customHeight="1">
      <c r="A24" s="904" t="str">
        <f t="shared" ref="A24" si="1">IF(B24&lt;&gt;"",ROW()-19,"")</f>
        <v/>
      </c>
      <c r="B24" s="515"/>
      <c r="C24" s="550"/>
      <c r="D24" s="550"/>
      <c r="E24" s="841"/>
      <c r="F24" s="905"/>
      <c r="G24" s="841"/>
      <c r="H24" s="841"/>
    </row>
    <row r="25" spans="1:8" ht="17.25" customHeight="1">
      <c r="A25" s="519"/>
      <c r="B25" s="519" t="s">
        <v>339</v>
      </c>
      <c r="C25" s="551"/>
      <c r="D25" s="551"/>
      <c r="E25" s="580">
        <f ca="1">SUM(E20:E24)</f>
        <v>18000000</v>
      </c>
      <c r="F25" s="551"/>
      <c r="G25" s="580">
        <f ca="1">SUM(G20:G24)</f>
        <v>5700000</v>
      </c>
      <c r="H25" s="580"/>
    </row>
    <row r="26" spans="1:8" ht="17.25" customHeight="1">
      <c r="A26" s="552"/>
      <c r="B26" s="552"/>
      <c r="C26" s="553"/>
      <c r="D26" s="553"/>
      <c r="E26" s="553"/>
      <c r="F26" s="553"/>
      <c r="G26" s="554"/>
      <c r="H26" s="554"/>
    </row>
    <row r="27" spans="1:8" ht="17.25" customHeight="1">
      <c r="A27" s="552"/>
      <c r="B27" s="552"/>
      <c r="C27" s="553"/>
      <c r="D27" s="553"/>
      <c r="E27" s="553"/>
      <c r="F27" s="553"/>
      <c r="G27" s="554"/>
      <c r="H27" s="554"/>
    </row>
    <row r="28" spans="1:8" ht="17.25" customHeight="1">
      <c r="A28" s="1108" t="s">
        <v>340</v>
      </c>
      <c r="B28" s="1108"/>
      <c r="C28" s="1108"/>
      <c r="D28" s="1108"/>
      <c r="E28" s="1108"/>
      <c r="F28" s="1108"/>
      <c r="G28" s="1108"/>
      <c r="H28" s="1108"/>
    </row>
    <row r="29" spans="1:8" ht="27" customHeight="1">
      <c r="A29" s="519" t="s">
        <v>35</v>
      </c>
      <c r="B29" s="1087" t="s">
        <v>341</v>
      </c>
      <c r="C29" s="1089"/>
      <c r="D29" s="551" t="s">
        <v>210</v>
      </c>
      <c r="E29" s="551" t="s">
        <v>342</v>
      </c>
      <c r="F29" s="551" t="s">
        <v>343</v>
      </c>
      <c r="G29" s="554"/>
      <c r="H29" s="554"/>
    </row>
    <row r="30" spans="1:8" ht="17.25" customHeight="1">
      <c r="A30" s="519" t="s">
        <v>2</v>
      </c>
      <c r="B30" s="519" t="s">
        <v>3</v>
      </c>
      <c r="C30" s="551"/>
      <c r="D30" s="551" t="s">
        <v>4</v>
      </c>
      <c r="E30" s="551">
        <v>1</v>
      </c>
      <c r="F30" s="551">
        <v>2</v>
      </c>
      <c r="G30" s="554"/>
      <c r="H30" s="554"/>
    </row>
    <row r="31" spans="1:8" ht="17.25" customHeight="1">
      <c r="A31" s="555"/>
      <c r="B31" s="555"/>
      <c r="C31" s="556"/>
      <c r="D31" s="556"/>
      <c r="E31" s="556"/>
      <c r="F31" s="556"/>
      <c r="G31" s="554"/>
      <c r="H31" s="554"/>
    </row>
    <row r="32" spans="1:8" ht="17.25" customHeight="1">
      <c r="A32" s="557"/>
      <c r="B32" s="557"/>
      <c r="C32" s="558"/>
      <c r="D32" s="558"/>
      <c r="E32" s="558"/>
      <c r="F32" s="558"/>
      <c r="G32" s="554"/>
      <c r="H32" s="554"/>
    </row>
    <row r="33" spans="1:8" ht="17.25" customHeight="1">
      <c r="A33" s="557"/>
      <c r="B33" s="557"/>
      <c r="C33" s="558"/>
      <c r="D33" s="558"/>
      <c r="E33" s="558"/>
      <c r="F33" s="558"/>
      <c r="G33" s="554"/>
      <c r="H33" s="554"/>
    </row>
    <row r="34" spans="1:8" ht="17.25" customHeight="1">
      <c r="A34" s="557"/>
      <c r="B34" s="557"/>
      <c r="C34" s="558"/>
      <c r="D34" s="558"/>
      <c r="E34" s="558"/>
      <c r="F34" s="558"/>
      <c r="G34" s="554"/>
      <c r="H34" s="554"/>
    </row>
    <row r="35" spans="1:8" ht="17.25" customHeight="1">
      <c r="A35" s="559"/>
      <c r="B35" s="559"/>
      <c r="C35" s="560"/>
      <c r="D35" s="560"/>
      <c r="E35" s="560"/>
      <c r="F35" s="560"/>
      <c r="G35" s="554"/>
      <c r="H35" s="554"/>
    </row>
    <row r="36" spans="1:8">
      <c r="A36" s="552"/>
      <c r="B36" s="552"/>
      <c r="C36" s="553"/>
      <c r="D36" s="553"/>
      <c r="E36" s="553"/>
      <c r="F36" s="553"/>
      <c r="G36" s="554"/>
      <c r="H36" s="554"/>
    </row>
    <row r="37" spans="1:8">
      <c r="A37" s="110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9"/>
      <c r="C37" s="1109"/>
      <c r="D37" s="1109"/>
      <c r="E37" s="1109"/>
      <c r="F37" s="1109"/>
      <c r="G37" s="1109"/>
      <c r="H37" s="1109"/>
    </row>
    <row r="38" spans="1:8">
      <c r="A38" s="1109" t="str">
        <f ca="1" xml:space="preserve"> IF(ROWS($1:1)&gt;COUNT(Dong3),"","Lý do giảm:   "&amp;OFFSET('SO-TS'!$O$1,SMALL(Dong3,ROWS($1:1)),))</f>
        <v xml:space="preserve">Lý do giảm:   </v>
      </c>
      <c r="B38" s="1109"/>
      <c r="C38" s="1109"/>
      <c r="D38" s="1109"/>
      <c r="E38" s="1109"/>
      <c r="F38" s="1109"/>
      <c r="G38" s="1109"/>
      <c r="H38" s="1109"/>
    </row>
    <row r="39" spans="1:8">
      <c r="A39" s="529"/>
      <c r="B39" s="529"/>
      <c r="C39" s="524"/>
      <c r="D39" s="524"/>
      <c r="E39" s="1093" t="s">
        <v>493</v>
      </c>
      <c r="F39" s="1093"/>
      <c r="G39" s="1093"/>
      <c r="H39" s="1093"/>
    </row>
    <row r="40" spans="1:8">
      <c r="A40" s="1105" t="s">
        <v>344</v>
      </c>
      <c r="B40" s="1105"/>
      <c r="C40" s="1105" t="s">
        <v>12</v>
      </c>
      <c r="D40" s="1105"/>
      <c r="E40" s="1110" t="s">
        <v>110</v>
      </c>
      <c r="F40" s="1110"/>
      <c r="G40" s="1110"/>
      <c r="H40" s="1110"/>
    </row>
    <row r="41" spans="1:8">
      <c r="A41" s="500"/>
      <c r="B41" s="500"/>
      <c r="C41" s="504"/>
      <c r="D41" s="504"/>
      <c r="E41" s="504"/>
      <c r="F41" s="504"/>
      <c r="G41" s="504"/>
      <c r="H41" s="504"/>
    </row>
    <row r="42" spans="1:8">
      <c r="A42" s="500"/>
      <c r="B42" s="500"/>
      <c r="C42" s="504"/>
      <c r="D42" s="504"/>
      <c r="E42" s="504"/>
      <c r="F42" s="504"/>
      <c r="G42" s="504"/>
      <c r="H42" s="504"/>
    </row>
    <row r="43" spans="1:8">
      <c r="A43" s="500"/>
      <c r="B43" s="500"/>
      <c r="C43" s="504"/>
      <c r="D43" s="504"/>
      <c r="E43" s="504"/>
      <c r="F43" s="504"/>
      <c r="G43" s="504"/>
      <c r="H43" s="504"/>
    </row>
    <row r="44" spans="1:8">
      <c r="A44" s="500"/>
      <c r="B44" s="500"/>
      <c r="C44" s="504"/>
      <c r="D44" s="504"/>
      <c r="E44" s="504"/>
      <c r="F44" s="504"/>
      <c r="G44" s="504"/>
      <c r="H44" s="504"/>
    </row>
    <row r="45" spans="1:8">
      <c r="A45" s="500"/>
      <c r="B45" s="500"/>
      <c r="C45" s="504"/>
      <c r="D45" s="504"/>
      <c r="E45" s="504"/>
      <c r="F45" s="504"/>
      <c r="G45" s="504"/>
      <c r="H45" s="504"/>
    </row>
    <row r="46" spans="1:8">
      <c r="A46" s="500"/>
      <c r="B46" s="500"/>
      <c r="C46" s="504"/>
      <c r="D46" s="504"/>
      <c r="E46" s="504"/>
      <c r="F46" s="504"/>
      <c r="G46" s="504"/>
      <c r="H46" s="504"/>
    </row>
    <row r="47" spans="1:8">
      <c r="A47" s="500"/>
      <c r="B47" s="500"/>
      <c r="C47" s="504"/>
      <c r="D47" s="504"/>
      <c r="E47" s="504"/>
      <c r="F47" s="504"/>
      <c r="G47" s="504"/>
      <c r="H47" s="504"/>
    </row>
    <row r="48" spans="1:8">
      <c r="A48" s="1111" t="s">
        <v>158</v>
      </c>
      <c r="B48" s="1111"/>
      <c r="C48" s="524"/>
      <c r="D48" s="524"/>
      <c r="E48" s="1093" t="s">
        <v>104</v>
      </c>
      <c r="F48" s="1093"/>
      <c r="G48" s="1093"/>
      <c r="H48" s="1093"/>
    </row>
  </sheetData>
  <dataConsolidate/>
  <mergeCells count="17">
    <mergeCell ref="A40:B40"/>
    <mergeCell ref="C40:D40"/>
    <mergeCell ref="E40:H40"/>
    <mergeCell ref="A48:B48"/>
    <mergeCell ref="E48:H48"/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43.42578125" style="746" customWidth="1"/>
    <col min="5" max="5" width="7.140625" style="746" customWidth="1"/>
    <col min="6" max="6" width="14.140625" style="746" customWidth="1"/>
    <col min="7" max="7" width="14.85546875" style="746" customWidth="1"/>
    <col min="8" max="9" width="12" style="746" customWidth="1"/>
    <col min="10" max="10" width="12.85546875" style="746" customWidth="1"/>
    <col min="11" max="12" width="13.5703125" style="746" customWidth="1"/>
    <col min="13" max="13" width="12.7109375" style="746" customWidth="1"/>
    <col min="14" max="14" width="6.28515625" style="746" customWidth="1"/>
    <col min="15" max="15" width="8.42578125" style="746" customWidth="1"/>
    <col min="16" max="16384" width="9.140625" style="746"/>
  </cols>
  <sheetData>
    <row r="2" spans="1:16">
      <c r="A2" s="745" t="str">
        <f>'IN-NX'!A2</f>
        <v>Đơn vị: CÔNG TY TNHH SX TM KIM DUNG PHÁT</v>
      </c>
      <c r="F2" s="747"/>
      <c r="G2" s="747"/>
      <c r="H2" s="747"/>
      <c r="I2" s="747"/>
      <c r="J2" s="1113" t="s">
        <v>515</v>
      </c>
      <c r="K2" s="1113"/>
      <c r="L2" s="1113"/>
      <c r="M2" s="1113"/>
    </row>
    <row r="3" spans="1:16">
      <c r="A3" s="776" t="str">
        <f>'IN-NX'!A3</f>
        <v>Địa chỉ: 1A227/1 Ấp 1, Phạm Văn Hai, Bình Chánh, TPHCM</v>
      </c>
      <c r="J3" s="1114" t="s">
        <v>162</v>
      </c>
      <c r="K3" s="1115"/>
      <c r="L3" s="1115"/>
      <c r="M3" s="1115"/>
    </row>
    <row r="4" spans="1:16">
      <c r="J4" s="1115" t="s">
        <v>163</v>
      </c>
      <c r="K4" s="1115"/>
      <c r="L4" s="1115"/>
      <c r="M4" s="1115"/>
    </row>
    <row r="5" spans="1:16" ht="19.5" customHeight="1">
      <c r="A5" s="1116" t="s">
        <v>516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1116"/>
      <c r="N5" s="748" t="s">
        <v>175</v>
      </c>
      <c r="O5" s="661">
        <f>IF(O13="Quý I",1,IF(O13="Quý II",4,IF(O13="Quý III",7,IF(O13="Quý IV",10,""))))</f>
        <v>4</v>
      </c>
      <c r="P5" s="661">
        <f>IF(O13="Quý I",3,IF(O13="Quý II",6,IF(O13="Quý III",9,IF(O13="Quý IV",12,""))))</f>
        <v>6</v>
      </c>
    </row>
    <row r="6" spans="1:16">
      <c r="A6" s="1115" t="s">
        <v>517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774"/>
    </row>
    <row r="7" spans="1:16">
      <c r="B7" s="749"/>
      <c r="C7" s="749"/>
      <c r="D7" s="749"/>
      <c r="E7" s="750" t="s">
        <v>518</v>
      </c>
      <c r="G7" s="749"/>
      <c r="H7" s="749"/>
      <c r="I7" s="749"/>
      <c r="J7" s="749"/>
      <c r="K7" s="749"/>
      <c r="L7" s="749"/>
      <c r="M7" s="749"/>
    </row>
    <row r="8" spans="1:16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  <c r="M8" s="749"/>
    </row>
    <row r="9" spans="1:16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  <c r="M9" s="751"/>
    </row>
    <row r="10" spans="1:16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</row>
    <row r="11" spans="1:16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521</v>
      </c>
      <c r="G11" s="1118"/>
      <c r="H11" s="1118"/>
      <c r="I11" s="1118"/>
      <c r="J11" s="1118"/>
      <c r="K11" s="1118"/>
      <c r="L11" s="1118"/>
      <c r="M11" s="1118"/>
    </row>
    <row r="12" spans="1:16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  <c r="M12" s="1119"/>
    </row>
    <row r="13" spans="1:16" ht="31.5" customHeight="1" thickBot="1">
      <c r="A13" s="1117"/>
      <c r="B13" s="1119"/>
      <c r="C13" s="1119"/>
      <c r="D13" s="1117"/>
      <c r="E13" s="1117"/>
      <c r="F13" s="1119"/>
      <c r="G13" s="752" t="s">
        <v>505</v>
      </c>
      <c r="H13" s="752" t="s">
        <v>506</v>
      </c>
      <c r="I13" s="752" t="s">
        <v>507</v>
      </c>
      <c r="J13" s="752" t="s">
        <v>524</v>
      </c>
      <c r="K13" s="752" t="s">
        <v>525</v>
      </c>
      <c r="L13" s="752" t="s">
        <v>503</v>
      </c>
      <c r="M13" s="752" t="s">
        <v>526</v>
      </c>
      <c r="O13" s="775" t="s">
        <v>399</v>
      </c>
    </row>
    <row r="14" spans="1:16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/>
      <c r="J14" s="753">
        <v>4</v>
      </c>
      <c r="K14" s="753">
        <v>5</v>
      </c>
      <c r="L14" s="753"/>
      <c r="M14" s="753">
        <v>6</v>
      </c>
    </row>
    <row r="15" spans="1:16" ht="22.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  <c r="M15" s="756"/>
    </row>
    <row r="16" spans="1:16" ht="22.5" customHeight="1">
      <c r="A16" s="757">
        <f ca="1">IF(ROWS($1:1)&gt;COUNT(Dong9),"",OFFSET(TH!C$1,SMALL(Dong9,ROWS($1:1)),))</f>
        <v>41000</v>
      </c>
      <c r="B16" s="757" t="str">
        <f ca="1">IF(ROWS($1:1)&gt;COUNT(Dong9),"",OFFSET(TH!D$1,SMALL(Dong9,ROWS($1:1)),))</f>
        <v>CTGS</v>
      </c>
      <c r="C16" s="757">
        <f ca="1">IF(ROWS($1:1)&gt;COUNT(Dong9),"",OFFSET(TH!E$1,SMALL(Dong9,ROWS($1:1)),))</f>
        <v>41000</v>
      </c>
      <c r="D16" s="758" t="str">
        <f ca="1">IF(ROWS($1:1)&gt;COUNT(Dong9),"",OFFSET(TH!F$1,SMALL(Dong9,ROWS($1:1)),))</f>
        <v>Trích khấu hao TSCĐ Hữu hình</v>
      </c>
      <c r="E16" s="757" t="str">
        <f ca="1">IF(ROWS($1:1)&gt;COUNT(Dong9),"",OFFSET(TH!M$1,SMALL(Dong9,ROWS($1:1)),))</f>
        <v>2141</v>
      </c>
      <c r="F16" s="759">
        <f ca="1">IF(ROWS($1:1)&gt;COUNT(Dong9),"",OFFSET(TH!K$1,SMALL(Dong9,ROWS($1:1)),))</f>
        <v>18250000</v>
      </c>
      <c r="G16" s="759">
        <f ca="1">IF($E16="1521",$F16,0)</f>
        <v>0</v>
      </c>
      <c r="H16" s="759">
        <f ca="1">IF($E16="1522",$F16,0)</f>
        <v>0</v>
      </c>
      <c r="I16" s="759">
        <f ca="1">IF(LEFT(D16,6)="Mực in",F16,0)</f>
        <v>0</v>
      </c>
      <c r="J16" s="759">
        <f ca="1">IF(OR(LEFT($E16,3)="334",LEFT($E16,3)="338"),$F16,0)</f>
        <v>0</v>
      </c>
      <c r="K16" s="759">
        <f ca="1">IF(OR(LEFT($E16,3)="331",AND(LEFT($E16,3)="111",$D16="Tiền điện")),$F16,0)</f>
        <v>0</v>
      </c>
      <c r="L16" s="759">
        <f ca="1">IF($E16="142",$F16,0)</f>
        <v>0</v>
      </c>
      <c r="M16" s="759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57">
        <f ca="1">IF(ROWS($1:2)&gt;COUNT(Dong9),"",OFFSET(TH!C$1,SMALL(Dong9,ROWS($1:2)),))</f>
        <v>41016</v>
      </c>
      <c r="B17" s="757" t="str">
        <f ca="1">IF(ROWS($1:2)&gt;COUNT(Dong9),"",OFFSET(TH!D$1,SMALL(Dong9,ROWS($1:2)),))</f>
        <v>C03</v>
      </c>
      <c r="C17" s="757">
        <f ca="1">IF(ROWS($1:2)&gt;COUNT(Dong9),"",OFFSET(TH!E$1,SMALL(Dong9,ROWS($1:2)),))</f>
        <v>41016</v>
      </c>
      <c r="D17" s="758" t="str">
        <f ca="1">IF(ROWS($1:2)&gt;COUNT(Dong9),"",OFFSET(TH!F$1,SMALL(Dong9,ROWS($1:2)),))</f>
        <v>Mực in V-FLEX 6412 Red</v>
      </c>
      <c r="E17" s="757" t="str">
        <f ca="1">IF(ROWS($1:2)&gt;COUNT(Dong9),"",OFFSET(TH!M$1,SMALL(Dong9,ROWS($1:2)),))</f>
        <v>1111</v>
      </c>
      <c r="F17" s="759">
        <f ca="1">IF(ROWS($1:2)&gt;COUNT(Dong9),"",OFFSET(TH!K$1,SMALL(Dong9,ROWS($1:2)),))</f>
        <v>2680000</v>
      </c>
      <c r="G17" s="759">
        <f t="shared" ref="G17:G35" ca="1" si="0">IF($E17="1521",$F17,0)</f>
        <v>0</v>
      </c>
      <c r="H17" s="759">
        <f t="shared" ref="H17:H35" ca="1" si="1">IF($E17="1522",$F17,0)</f>
        <v>0</v>
      </c>
      <c r="I17" s="759">
        <f t="shared" ref="I17:I35" ca="1" si="2">IF(LEFT(D17,6)="Mực in",F17,0)</f>
        <v>2680000</v>
      </c>
      <c r="J17" s="759">
        <f t="shared" ref="J17:J35" ca="1" si="3">IF(OR(LEFT($E17,3)="334",LEFT($E17,3)="338"),$F17,0)</f>
        <v>0</v>
      </c>
      <c r="K17" s="759">
        <f t="shared" ref="K17:K35" ca="1" si="4">IF(OR(LEFT($E17,3)="331",AND(LEFT($E17,3)="111",$D17="Tiền điện")),$F17,0)</f>
        <v>0</v>
      </c>
      <c r="L17" s="759">
        <f t="shared" ref="L17:L35" ca="1" si="5">IF($E17="142",$F17,0)</f>
        <v>0</v>
      </c>
      <c r="M17" s="759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57">
        <f ca="1">IF(ROWS($1:3)&gt;COUNT(Dong9),"",OFFSET(TH!C$1,SMALL(Dong9,ROWS($1:3)),))</f>
        <v>41017</v>
      </c>
      <c r="B18" s="757" t="str">
        <f ca="1">IF(ROWS($1:3)&gt;COUNT(Dong9),"",OFFSET(TH!D$1,SMALL(Dong9,ROWS($1:3)),))</f>
        <v>C04</v>
      </c>
      <c r="C18" s="757">
        <f ca="1">IF(ROWS($1:3)&gt;COUNT(Dong9),"",OFFSET(TH!E$1,SMALL(Dong9,ROWS($1:3)),))</f>
        <v>41017</v>
      </c>
      <c r="D18" s="758" t="str">
        <f ca="1">IF(ROWS($1:3)&gt;COUNT(Dong9),"",OFFSET(TH!F$1,SMALL(Dong9,ROWS($1:3)),))</f>
        <v>Mực in V-FLEX 1562 Black 378</v>
      </c>
      <c r="E18" s="757" t="str">
        <f ca="1">IF(ROWS($1:3)&gt;COUNT(Dong9),"",OFFSET(TH!M$1,SMALL(Dong9,ROWS($1:3)),))</f>
        <v>1111</v>
      </c>
      <c r="F18" s="759">
        <f ca="1">IF(ROWS($1:3)&gt;COUNT(Dong9),"",OFFSET(TH!K$1,SMALL(Dong9,ROWS($1:3)),))</f>
        <v>1560000</v>
      </c>
      <c r="G18" s="759">
        <f t="shared" ca="1" si="0"/>
        <v>0</v>
      </c>
      <c r="H18" s="759">
        <f t="shared" ca="1" si="1"/>
        <v>0</v>
      </c>
      <c r="I18" s="759">
        <f t="shared" ca="1" si="2"/>
        <v>1560000</v>
      </c>
      <c r="J18" s="759">
        <f t="shared" ca="1" si="3"/>
        <v>0</v>
      </c>
      <c r="K18" s="759">
        <f t="shared" ca="1" si="4"/>
        <v>0</v>
      </c>
      <c r="L18" s="759">
        <f t="shared" ca="1" si="5"/>
        <v>0</v>
      </c>
      <c r="M18" s="759">
        <f t="shared" ca="1" si="6"/>
        <v>0</v>
      </c>
    </row>
    <row r="19" spans="1:13" ht="22.5" customHeight="1">
      <c r="A19" s="757">
        <f ca="1">IF(ROWS($1:4)&gt;COUNT(Dong9),"",OFFSET(TH!C$1,SMALL(Dong9,ROWS($1:4)),))</f>
        <v>41022</v>
      </c>
      <c r="B19" s="757" t="str">
        <f ca="1">IF(ROWS($1:4)&gt;COUNT(Dong9),"",OFFSET(TH!D$1,SMALL(Dong9,ROWS($1:4)),))</f>
        <v>C05</v>
      </c>
      <c r="C19" s="757">
        <f ca="1">IF(ROWS($1:4)&gt;COUNT(Dong9),"",OFFSET(TH!E$1,SMALL(Dong9,ROWS($1:4)),))</f>
        <v>41022</v>
      </c>
      <c r="D19" s="758" t="str">
        <f ca="1">IF(ROWS($1:4)&gt;COUNT(Dong9),"",OFFSET(TH!F$1,SMALL(Dong9,ROWS($1:4)),))</f>
        <v>Mực vàng</v>
      </c>
      <c r="E19" s="757" t="str">
        <f ca="1">IF(ROWS($1:4)&gt;COUNT(Dong9),"",OFFSET(TH!M$1,SMALL(Dong9,ROWS($1:4)),))</f>
        <v>1111</v>
      </c>
      <c r="F19" s="759">
        <f ca="1">IF(ROWS($1:4)&gt;COUNT(Dong9),"",OFFSET(TH!K$1,SMALL(Dong9,ROWS($1:4)),))</f>
        <v>1040000</v>
      </c>
      <c r="G19" s="759">
        <f t="shared" ca="1" si="0"/>
        <v>0</v>
      </c>
      <c r="H19" s="759">
        <f t="shared" ca="1" si="1"/>
        <v>0</v>
      </c>
      <c r="I19" s="759">
        <f t="shared" ca="1" si="2"/>
        <v>0</v>
      </c>
      <c r="J19" s="759">
        <f t="shared" ca="1" si="3"/>
        <v>0</v>
      </c>
      <c r="K19" s="759">
        <f t="shared" ca="1" si="4"/>
        <v>0</v>
      </c>
      <c r="L19" s="759">
        <f t="shared" ca="1" si="5"/>
        <v>0</v>
      </c>
      <c r="M19" s="759">
        <f t="shared" ca="1" si="6"/>
        <v>1040000</v>
      </c>
    </row>
    <row r="20" spans="1:13" ht="22.5" customHeight="1">
      <c r="A20" s="757">
        <f ca="1">IF(ROWS($1:5)&gt;COUNT(Dong9),"",OFFSET(TH!C$1,SMALL(Dong9,ROWS($1:5)),))</f>
        <v>41029</v>
      </c>
      <c r="B20" s="757" t="str">
        <f ca="1">IF(ROWS($1:5)&gt;COUNT(Dong9),"",OFFSET(TH!D$1,SMALL(Dong9,ROWS($1:5)),))</f>
        <v>CTGS</v>
      </c>
      <c r="C20" s="757">
        <f ca="1">IF(ROWS($1:5)&gt;COUNT(Dong9),"",OFFSET(TH!E$1,SMALL(Dong9,ROWS($1:5)),))</f>
        <v>41029</v>
      </c>
      <c r="D20" s="758" t="str">
        <f ca="1">IF(ROWS($1:5)&gt;COUNT(Dong9),"",OFFSET(TH!F$1,SMALL(Dong9,ROWS($1:5)),))</f>
        <v>Tiền lương BP Phân Xưởng &amp; CN</v>
      </c>
      <c r="E20" s="757" t="str">
        <f ca="1">IF(ROWS($1:5)&gt;COUNT(Dong9),"",OFFSET(TH!M$1,SMALL(Dong9,ROWS($1:5)),))</f>
        <v>3341</v>
      </c>
      <c r="F20" s="759">
        <f ca="1">IF(ROWS($1:5)&gt;COUNT(Dong9),"",OFFSET(TH!K$1,SMALL(Dong9,ROWS($1:5)),))</f>
        <v>13450000</v>
      </c>
      <c r="G20" s="759">
        <f t="shared" ca="1" si="0"/>
        <v>0</v>
      </c>
      <c r="H20" s="759">
        <f t="shared" ca="1" si="1"/>
        <v>0</v>
      </c>
      <c r="I20" s="759">
        <f t="shared" ca="1" si="2"/>
        <v>0</v>
      </c>
      <c r="J20" s="759">
        <f t="shared" ca="1" si="3"/>
        <v>13450000</v>
      </c>
      <c r="K20" s="759">
        <f t="shared" ca="1" si="4"/>
        <v>0</v>
      </c>
      <c r="L20" s="759">
        <f t="shared" ca="1" si="5"/>
        <v>0</v>
      </c>
      <c r="M20" s="759">
        <f t="shared" ca="1" si="6"/>
        <v>0</v>
      </c>
    </row>
    <row r="21" spans="1:13" ht="22.5" customHeight="1">
      <c r="A21" s="757">
        <f ca="1">IF(ROWS($1:6)&gt;COUNT(Dong9),"",OFFSET(TH!C$1,SMALL(Dong9,ROWS($1:6)),))</f>
        <v>41040</v>
      </c>
      <c r="B21" s="757" t="str">
        <f ca="1">IF(ROWS($1:6)&gt;COUNT(Dong9),"",OFFSET(TH!D$1,SMALL(Dong9,ROWS($1:6)),))</f>
        <v>C12</v>
      </c>
      <c r="C21" s="757">
        <f ca="1">IF(ROWS($1:6)&gt;COUNT(Dong9),"",OFFSET(TH!E$1,SMALL(Dong9,ROWS($1:6)),))</f>
        <v>41040</v>
      </c>
      <c r="D21" s="758" t="str">
        <f ca="1">IF(ROWS($1:6)&gt;COUNT(Dong9),"",OFFSET(TH!F$1,SMALL(Dong9,ROWS($1:6)),))</f>
        <v>Mực in V-FLEX 8470 Blue, 8471 Green</v>
      </c>
      <c r="E21" s="757" t="str">
        <f ca="1">IF(ROWS($1:6)&gt;COUNT(Dong9),"",OFFSET(TH!M$1,SMALL(Dong9,ROWS($1:6)),))</f>
        <v>1111</v>
      </c>
      <c r="F21" s="759">
        <f ca="1">IF(ROWS($1:6)&gt;COUNT(Dong9),"",OFFSET(TH!K$1,SMALL(Dong9,ROWS($1:6)),))</f>
        <v>2580000</v>
      </c>
      <c r="G21" s="759">
        <f t="shared" ca="1" si="0"/>
        <v>0</v>
      </c>
      <c r="H21" s="759">
        <f t="shared" ca="1" si="1"/>
        <v>0</v>
      </c>
      <c r="I21" s="759">
        <f t="shared" ca="1" si="2"/>
        <v>2580000</v>
      </c>
      <c r="J21" s="759">
        <f t="shared" ca="1" si="3"/>
        <v>0</v>
      </c>
      <c r="K21" s="759">
        <f t="shared" ca="1" si="4"/>
        <v>0</v>
      </c>
      <c r="L21" s="759">
        <f t="shared" ca="1" si="5"/>
        <v>0</v>
      </c>
      <c r="M21" s="759">
        <f t="shared" ca="1" si="6"/>
        <v>0</v>
      </c>
    </row>
    <row r="22" spans="1:13" ht="22.5" customHeight="1">
      <c r="A22" s="757">
        <f ca="1">IF(ROWS($1:7)&gt;COUNT(Dong9),"",OFFSET(TH!C$1,SMALL(Dong9,ROWS($1:7)),))</f>
        <v>41048</v>
      </c>
      <c r="B22" s="757" t="str">
        <f ca="1">IF(ROWS($1:7)&gt;COUNT(Dong9),"",OFFSET(TH!D$1,SMALL(Dong9,ROWS($1:7)),))</f>
        <v>C21</v>
      </c>
      <c r="C22" s="757">
        <f ca="1">IF(ROWS($1:7)&gt;COUNT(Dong9),"",OFFSET(TH!E$1,SMALL(Dong9,ROWS($1:7)),))</f>
        <v>41048</v>
      </c>
      <c r="D22" s="758" t="str">
        <f ca="1">IF(ROWS($1:7)&gt;COUNT(Dong9),"",OFFSET(TH!F$1,SMALL(Dong9,ROWS($1:7)),))</f>
        <v>Mực in V-FLEX 8486 Blue, 6417 Green, 8470 Blue</v>
      </c>
      <c r="E22" s="757" t="str">
        <f ca="1">IF(ROWS($1:7)&gt;COUNT(Dong9),"",OFFSET(TH!M$1,SMALL(Dong9,ROWS($1:7)),))</f>
        <v>1111</v>
      </c>
      <c r="F22" s="759">
        <f ca="1">IF(ROWS($1:7)&gt;COUNT(Dong9),"",OFFSET(TH!K$1,SMALL(Dong9,ROWS($1:7)),))</f>
        <v>6200000</v>
      </c>
      <c r="G22" s="759">
        <f t="shared" ca="1" si="0"/>
        <v>0</v>
      </c>
      <c r="H22" s="759">
        <f t="shared" ca="1" si="1"/>
        <v>0</v>
      </c>
      <c r="I22" s="759">
        <f t="shared" ca="1" si="2"/>
        <v>6200000</v>
      </c>
      <c r="J22" s="759">
        <f t="shared" ca="1" si="3"/>
        <v>0</v>
      </c>
      <c r="K22" s="759">
        <f t="shared" ca="1" si="4"/>
        <v>0</v>
      </c>
      <c r="L22" s="759">
        <f t="shared" ca="1" si="5"/>
        <v>0</v>
      </c>
      <c r="M22" s="759">
        <f t="shared" ca="1" si="6"/>
        <v>0</v>
      </c>
    </row>
    <row r="23" spans="1:13" ht="22.5" customHeight="1">
      <c r="A23" s="757">
        <f ca="1">IF(ROWS($1:8)&gt;COUNT(Dong9),"",OFFSET(TH!C$1,SMALL(Dong9,ROWS($1:8)),))</f>
        <v>41052</v>
      </c>
      <c r="B23" s="757" t="str">
        <f ca="1">IF(ROWS($1:8)&gt;COUNT(Dong9),"",OFFSET(TH!D$1,SMALL(Dong9,ROWS($1:8)),))</f>
        <v>C24</v>
      </c>
      <c r="C23" s="757">
        <f ca="1">IF(ROWS($1:8)&gt;COUNT(Dong9),"",OFFSET(TH!E$1,SMALL(Dong9,ROWS($1:8)),))</f>
        <v>41052</v>
      </c>
      <c r="D23" s="758" t="str">
        <f ca="1">IF(ROWS($1:8)&gt;COUNT(Dong9),"",OFFSET(TH!F$1,SMALL(Dong9,ROWS($1:8)),))</f>
        <v>Mực in V-FLEX 6412 Red</v>
      </c>
      <c r="E23" s="757" t="str">
        <f ca="1">IF(ROWS($1:8)&gt;COUNT(Dong9),"",OFFSET(TH!M$1,SMALL(Dong9,ROWS($1:8)),))</f>
        <v>1111</v>
      </c>
      <c r="F23" s="759">
        <f ca="1">IF(ROWS($1:8)&gt;COUNT(Dong9),"",OFFSET(TH!K$1,SMALL(Dong9,ROWS($1:8)),))</f>
        <v>2600000</v>
      </c>
      <c r="G23" s="759">
        <f t="shared" ca="1" si="0"/>
        <v>0</v>
      </c>
      <c r="H23" s="759">
        <f t="shared" ca="1" si="1"/>
        <v>0</v>
      </c>
      <c r="I23" s="759">
        <f t="shared" ca="1" si="2"/>
        <v>2600000</v>
      </c>
      <c r="J23" s="759">
        <f t="shared" ca="1" si="3"/>
        <v>0</v>
      </c>
      <c r="K23" s="759">
        <f t="shared" ca="1" si="4"/>
        <v>0</v>
      </c>
      <c r="L23" s="759">
        <f t="shared" ca="1" si="5"/>
        <v>0</v>
      </c>
      <c r="M23" s="759">
        <f t="shared" ca="1" si="6"/>
        <v>0</v>
      </c>
    </row>
    <row r="24" spans="1:13" ht="22.5" customHeight="1">
      <c r="A24" s="757">
        <f ca="1">IF(ROWS($1:9)&gt;COUNT(Dong9),"",OFFSET(TH!C$1,SMALL(Dong9,ROWS($1:9)),))</f>
        <v>41060</v>
      </c>
      <c r="B24" s="757" t="str">
        <f ca="1">IF(ROWS($1:9)&gt;COUNT(Dong9),"",OFFSET(TH!D$1,SMALL(Dong9,ROWS($1:9)),))</f>
        <v>CTGS</v>
      </c>
      <c r="C24" s="757">
        <f ca="1">IF(ROWS($1:9)&gt;COUNT(Dong9),"",OFFSET(TH!E$1,SMALL(Dong9,ROWS($1:9)),))</f>
        <v>41060</v>
      </c>
      <c r="D24" s="758" t="str">
        <f ca="1">IF(ROWS($1:9)&gt;COUNT(Dong9),"",OFFSET(TH!F$1,SMALL(Dong9,ROWS($1:9)),))</f>
        <v>Tiền lương BP Phân Xưởng &amp; CN</v>
      </c>
      <c r="E24" s="757" t="str">
        <f ca="1">IF(ROWS($1:9)&gt;COUNT(Dong9),"",OFFSET(TH!M$1,SMALL(Dong9,ROWS($1:9)),))</f>
        <v>3341</v>
      </c>
      <c r="F24" s="759">
        <f ca="1">IF(ROWS($1:9)&gt;COUNT(Dong9),"",OFFSET(TH!K$1,SMALL(Dong9,ROWS($1:9)),))</f>
        <v>13450000</v>
      </c>
      <c r="G24" s="759">
        <f t="shared" ca="1" si="0"/>
        <v>0</v>
      </c>
      <c r="H24" s="759">
        <f t="shared" ca="1" si="1"/>
        <v>0</v>
      </c>
      <c r="I24" s="759">
        <f t="shared" ca="1" si="2"/>
        <v>0</v>
      </c>
      <c r="J24" s="759">
        <f t="shared" ca="1" si="3"/>
        <v>13450000</v>
      </c>
      <c r="K24" s="759">
        <f t="shared" ca="1" si="4"/>
        <v>0</v>
      </c>
      <c r="L24" s="759">
        <f t="shared" ca="1" si="5"/>
        <v>0</v>
      </c>
      <c r="M24" s="759">
        <f t="shared" ca="1" si="6"/>
        <v>0</v>
      </c>
    </row>
    <row r="25" spans="1:13" ht="22.5" customHeight="1">
      <c r="A25" s="757">
        <f ca="1">IF(ROWS($1:10)&gt;COUNT(Dong9),"",OFFSET(TH!C$1,SMALL(Dong9,ROWS($1:10)),))</f>
        <v>41071</v>
      </c>
      <c r="B25" s="757" t="str">
        <f ca="1">IF(ROWS($1:10)&gt;COUNT(Dong9),"",OFFSET(TH!D$1,SMALL(Dong9,ROWS($1:10)),))</f>
        <v>C39</v>
      </c>
      <c r="C25" s="757">
        <f ca="1">IF(ROWS($1:10)&gt;COUNT(Dong9),"",OFFSET(TH!E$1,SMALL(Dong9,ROWS($1:10)),))</f>
        <v>41071</v>
      </c>
      <c r="D25" s="758" t="str">
        <f ca="1">IF(ROWS($1:10)&gt;COUNT(Dong9),"",OFFSET(TH!F$1,SMALL(Dong9,ROWS($1:10)),))</f>
        <v>Mực in V-FLEX 8559 Blue</v>
      </c>
      <c r="E25" s="757" t="str">
        <f ca="1">IF(ROWS($1:10)&gt;COUNT(Dong9),"",OFFSET(TH!M$1,SMALL(Dong9,ROWS($1:10)),))</f>
        <v>1111</v>
      </c>
      <c r="F25" s="759">
        <f ca="1">IF(ROWS($1:10)&gt;COUNT(Dong9),"",OFFSET(TH!K$1,SMALL(Dong9,ROWS($1:10)),))</f>
        <v>1600000</v>
      </c>
      <c r="G25" s="759">
        <f t="shared" ca="1" si="0"/>
        <v>0</v>
      </c>
      <c r="H25" s="759">
        <f t="shared" ca="1" si="1"/>
        <v>0</v>
      </c>
      <c r="I25" s="759">
        <f t="shared" ca="1" si="2"/>
        <v>1600000</v>
      </c>
      <c r="J25" s="759">
        <f t="shared" ca="1" si="3"/>
        <v>0</v>
      </c>
      <c r="K25" s="759">
        <f t="shared" ca="1" si="4"/>
        <v>0</v>
      </c>
      <c r="L25" s="759">
        <f t="shared" ca="1" si="5"/>
        <v>0</v>
      </c>
      <c r="M25" s="759">
        <f t="shared" ca="1" si="6"/>
        <v>0</v>
      </c>
    </row>
    <row r="26" spans="1:13" ht="22.5" customHeight="1">
      <c r="A26" s="757">
        <f ca="1">IF(ROWS($1:11)&gt;COUNT(Dong9),"",OFFSET(TH!C$1,SMALL(Dong9,ROWS($1:11)),))</f>
        <v>41073</v>
      </c>
      <c r="B26" s="757" t="str">
        <f ca="1">IF(ROWS($1:11)&gt;COUNT(Dong9),"",OFFSET(TH!D$1,SMALL(Dong9,ROWS($1:11)),))</f>
        <v>C41</v>
      </c>
      <c r="C26" s="757">
        <f ca="1">IF(ROWS($1:11)&gt;COUNT(Dong9),"",OFFSET(TH!E$1,SMALL(Dong9,ROWS($1:11)),))</f>
        <v>41073</v>
      </c>
      <c r="D26" s="758" t="str">
        <f ca="1">IF(ROWS($1:11)&gt;COUNT(Dong9),"",OFFSET(TH!F$1,SMALL(Dong9,ROWS($1:11)),))</f>
        <v>Mực in V-FLEX 8566 Green</v>
      </c>
      <c r="E26" s="757" t="str">
        <f ca="1">IF(ROWS($1:11)&gt;COUNT(Dong9),"",OFFSET(TH!M$1,SMALL(Dong9,ROWS($1:11)),))</f>
        <v>1111</v>
      </c>
      <c r="F26" s="759">
        <f ca="1">IF(ROWS($1:11)&gt;COUNT(Dong9),"",OFFSET(TH!K$1,SMALL(Dong9,ROWS($1:11)),))</f>
        <v>1560000</v>
      </c>
      <c r="G26" s="759">
        <f t="shared" ca="1" si="0"/>
        <v>0</v>
      </c>
      <c r="H26" s="759">
        <f t="shared" ca="1" si="1"/>
        <v>0</v>
      </c>
      <c r="I26" s="759">
        <f t="shared" ca="1" si="2"/>
        <v>1560000</v>
      </c>
      <c r="J26" s="759">
        <f t="shared" ca="1" si="3"/>
        <v>0</v>
      </c>
      <c r="K26" s="759">
        <f t="shared" ca="1" si="4"/>
        <v>0</v>
      </c>
      <c r="L26" s="759">
        <f t="shared" ca="1" si="5"/>
        <v>0</v>
      </c>
      <c r="M26" s="759">
        <f t="shared" ca="1" si="6"/>
        <v>0</v>
      </c>
    </row>
    <row r="27" spans="1:13" ht="22.5" customHeight="1">
      <c r="A27" s="757">
        <f ca="1">IF(ROWS($1:12)&gt;COUNT(Dong9),"",OFFSET(TH!C$1,SMALL(Dong9,ROWS($1:12)),))</f>
        <v>41080</v>
      </c>
      <c r="B27" s="757" t="str">
        <f ca="1">IF(ROWS($1:12)&gt;COUNT(Dong9),"",OFFSET(TH!D$1,SMALL(Dong9,ROWS($1:12)),))</f>
        <v>C45</v>
      </c>
      <c r="C27" s="757">
        <f ca="1">IF(ROWS($1:12)&gt;COUNT(Dong9),"",OFFSET(TH!E$1,SMALL(Dong9,ROWS($1:12)),))</f>
        <v>41080</v>
      </c>
      <c r="D27" s="758" t="str">
        <f ca="1">IF(ROWS($1:12)&gt;COUNT(Dong9),"",OFFSET(TH!F$1,SMALL(Dong9,ROWS($1:12)),))</f>
        <v>Mực in V-FLEX 6412 Red, 8580 Blue</v>
      </c>
      <c r="E27" s="757" t="str">
        <f ca="1">IF(ROWS($1:12)&gt;COUNT(Dong9),"",OFFSET(TH!M$1,SMALL(Dong9,ROWS($1:12)),))</f>
        <v>1111</v>
      </c>
      <c r="F27" s="759">
        <f ca="1">IF(ROWS($1:12)&gt;COUNT(Dong9),"",OFFSET(TH!K$1,SMALL(Dong9,ROWS($1:12)),))</f>
        <v>2920000</v>
      </c>
      <c r="G27" s="759">
        <f t="shared" ca="1" si="0"/>
        <v>0</v>
      </c>
      <c r="H27" s="759">
        <f t="shared" ca="1" si="1"/>
        <v>0</v>
      </c>
      <c r="I27" s="759">
        <f t="shared" ca="1" si="2"/>
        <v>2920000</v>
      </c>
      <c r="J27" s="759">
        <f t="shared" ca="1" si="3"/>
        <v>0</v>
      </c>
      <c r="K27" s="759">
        <f t="shared" ca="1" si="4"/>
        <v>0</v>
      </c>
      <c r="L27" s="759">
        <f t="shared" ca="1" si="5"/>
        <v>0</v>
      </c>
      <c r="M27" s="759">
        <f t="shared" ca="1" si="6"/>
        <v>0</v>
      </c>
    </row>
    <row r="28" spans="1:13" ht="22.5" customHeight="1">
      <c r="A28" s="757">
        <f ca="1">IF(ROWS($1:13)&gt;COUNT(Dong9),"",OFFSET(TH!C$1,SMALL(Dong9,ROWS($1:13)),))</f>
        <v>41080</v>
      </c>
      <c r="B28" s="757" t="str">
        <f ca="1">IF(ROWS($1:13)&gt;COUNT(Dong9),"",OFFSET(TH!D$1,SMALL(Dong9,ROWS($1:13)),))</f>
        <v>C45</v>
      </c>
      <c r="C28" s="757">
        <f ca="1">IF(ROWS($1:13)&gt;COUNT(Dong9),"",OFFSET(TH!E$1,SMALL(Dong9,ROWS($1:13)),))</f>
        <v>41080</v>
      </c>
      <c r="D28" s="758" t="str">
        <f ca="1">IF(ROWS($1:13)&gt;COUNT(Dong9),"",OFFSET(TH!F$1,SMALL(Dong9,ROWS($1:13)),))</f>
        <v>VAT Mực in</v>
      </c>
      <c r="E28" s="757" t="str">
        <f ca="1">IF(ROWS($1:13)&gt;COUNT(Dong9),"",OFFSET(TH!M$1,SMALL(Dong9,ROWS($1:13)),))</f>
        <v>1111</v>
      </c>
      <c r="F28" s="759">
        <f ca="1">IF(ROWS($1:13)&gt;COUNT(Dong9),"",OFFSET(TH!K$1,SMALL(Dong9,ROWS($1:13)),))</f>
        <v>292000</v>
      </c>
      <c r="G28" s="759">
        <f t="shared" ca="1" si="0"/>
        <v>0</v>
      </c>
      <c r="H28" s="759">
        <f t="shared" ca="1" si="1"/>
        <v>0</v>
      </c>
      <c r="I28" s="759">
        <f t="shared" ca="1" si="2"/>
        <v>0</v>
      </c>
      <c r="J28" s="759">
        <f t="shared" ca="1" si="3"/>
        <v>0</v>
      </c>
      <c r="K28" s="759">
        <f t="shared" ca="1" si="4"/>
        <v>0</v>
      </c>
      <c r="L28" s="759">
        <f t="shared" ca="1" si="5"/>
        <v>0</v>
      </c>
      <c r="M28" s="759">
        <f t="shared" ca="1" si="6"/>
        <v>292000</v>
      </c>
    </row>
    <row r="29" spans="1:13" ht="22.5" customHeight="1">
      <c r="A29" s="757">
        <f ca="1">IF(ROWS($1:14)&gt;COUNT(Dong9),"",OFFSET(TH!C$1,SMALL(Dong9,ROWS($1:14)),))</f>
        <v>41086</v>
      </c>
      <c r="B29" s="757" t="str">
        <f ca="1">IF(ROWS($1:14)&gt;COUNT(Dong9),"",OFFSET(TH!D$1,SMALL(Dong9,ROWS($1:14)),))</f>
        <v>C49</v>
      </c>
      <c r="C29" s="757">
        <f ca="1">IF(ROWS($1:14)&gt;COUNT(Dong9),"",OFFSET(TH!E$1,SMALL(Dong9,ROWS($1:14)),))</f>
        <v>41086</v>
      </c>
      <c r="D29" s="758" t="str">
        <f ca="1">IF(ROWS($1:14)&gt;COUNT(Dong9),"",OFFSET(TH!F$1,SMALL(Dong9,ROWS($1:14)),))</f>
        <v>Mực in V-FLEX 8600 Blue</v>
      </c>
      <c r="E29" s="757" t="str">
        <f ca="1">IF(ROWS($1:14)&gt;COUNT(Dong9),"",OFFSET(TH!M$1,SMALL(Dong9,ROWS($1:14)),))</f>
        <v>1111</v>
      </c>
      <c r="F29" s="759">
        <f ca="1">IF(ROWS($1:14)&gt;COUNT(Dong9),"",OFFSET(TH!K$1,SMALL(Dong9,ROWS($1:14)),))</f>
        <v>1360000</v>
      </c>
      <c r="G29" s="759">
        <f t="shared" ca="1" si="0"/>
        <v>0</v>
      </c>
      <c r="H29" s="759">
        <f t="shared" ca="1" si="1"/>
        <v>0</v>
      </c>
      <c r="I29" s="759">
        <f t="shared" ca="1" si="2"/>
        <v>1360000</v>
      </c>
      <c r="J29" s="759">
        <f t="shared" ca="1" si="3"/>
        <v>0</v>
      </c>
      <c r="K29" s="759">
        <f t="shared" ca="1" si="4"/>
        <v>0</v>
      </c>
      <c r="L29" s="759">
        <f t="shared" ca="1" si="5"/>
        <v>0</v>
      </c>
      <c r="M29" s="759">
        <f t="shared" ca="1" si="6"/>
        <v>0</v>
      </c>
    </row>
    <row r="30" spans="1:13" ht="22.5" customHeight="1">
      <c r="A30" s="757">
        <f ca="1">IF(ROWS($1:15)&gt;COUNT(Dong9),"",OFFSET(TH!C$1,SMALL(Dong9,ROWS($1:15)),))</f>
        <v>41086</v>
      </c>
      <c r="B30" s="757" t="str">
        <f ca="1">IF(ROWS($1:15)&gt;COUNT(Dong9),"",OFFSET(TH!D$1,SMALL(Dong9,ROWS($1:15)),))</f>
        <v>C49</v>
      </c>
      <c r="C30" s="757">
        <f ca="1">IF(ROWS($1:15)&gt;COUNT(Dong9),"",OFFSET(TH!E$1,SMALL(Dong9,ROWS($1:15)),))</f>
        <v>41086</v>
      </c>
      <c r="D30" s="758" t="str">
        <f ca="1">IF(ROWS($1:15)&gt;COUNT(Dong9),"",OFFSET(TH!F$1,SMALL(Dong9,ROWS($1:15)),))</f>
        <v>VAT Mực in</v>
      </c>
      <c r="E30" s="757" t="str">
        <f ca="1">IF(ROWS($1:15)&gt;COUNT(Dong9),"",OFFSET(TH!M$1,SMALL(Dong9,ROWS($1:15)),))</f>
        <v>1111</v>
      </c>
      <c r="F30" s="759">
        <f ca="1">IF(ROWS($1:15)&gt;COUNT(Dong9),"",OFFSET(TH!K$1,SMALL(Dong9,ROWS($1:15)),))</f>
        <v>136000</v>
      </c>
      <c r="G30" s="759">
        <f t="shared" ca="1" si="0"/>
        <v>0</v>
      </c>
      <c r="H30" s="759">
        <f t="shared" ca="1" si="1"/>
        <v>0</v>
      </c>
      <c r="I30" s="759">
        <f t="shared" ca="1" si="2"/>
        <v>0</v>
      </c>
      <c r="J30" s="759">
        <f t="shared" ca="1" si="3"/>
        <v>0</v>
      </c>
      <c r="K30" s="759">
        <f t="shared" ca="1" si="4"/>
        <v>0</v>
      </c>
      <c r="L30" s="759">
        <f t="shared" ca="1" si="5"/>
        <v>0</v>
      </c>
      <c r="M30" s="759">
        <f t="shared" ca="1" si="6"/>
        <v>136000</v>
      </c>
    </row>
    <row r="31" spans="1:13" ht="22.5" customHeight="1">
      <c r="A31" s="757">
        <f ca="1">IF(ROWS($1:16)&gt;COUNT(Dong9),"",OFFSET(TH!C$1,SMALL(Dong9,ROWS($1:16)),))</f>
        <v>41090</v>
      </c>
      <c r="B31" s="757" t="str">
        <f ca="1">IF(ROWS($1:16)&gt;COUNT(Dong9),"",OFFSET(TH!D$1,SMALL(Dong9,ROWS($1:16)),))</f>
        <v>CTGS</v>
      </c>
      <c r="C31" s="757">
        <f ca="1">IF(ROWS($1:16)&gt;COUNT(Dong9),"",OFFSET(TH!E$1,SMALL(Dong9,ROWS($1:16)),))</f>
        <v>41090</v>
      </c>
      <c r="D31" s="758" t="str">
        <f ca="1">IF(ROWS($1:16)&gt;COUNT(Dong9),"",OFFSET(TH!F$1,SMALL(Dong9,ROWS($1:16)),))</f>
        <v>Tiền lương BP Phân Xưởng &amp; CN</v>
      </c>
      <c r="E31" s="757" t="str">
        <f ca="1">IF(ROWS($1:16)&gt;COUNT(Dong9),"",OFFSET(TH!M$1,SMALL(Dong9,ROWS($1:16)),))</f>
        <v>3341</v>
      </c>
      <c r="F31" s="759">
        <f ca="1">IF(ROWS($1:16)&gt;COUNT(Dong9),"",OFFSET(TH!K$1,SMALL(Dong9,ROWS($1:16)),))</f>
        <v>13450000</v>
      </c>
      <c r="G31" s="759">
        <f t="shared" ca="1" si="0"/>
        <v>0</v>
      </c>
      <c r="H31" s="759">
        <f t="shared" ca="1" si="1"/>
        <v>0</v>
      </c>
      <c r="I31" s="759">
        <f t="shared" ca="1" si="2"/>
        <v>0</v>
      </c>
      <c r="J31" s="759">
        <f t="shared" ca="1" si="3"/>
        <v>13450000</v>
      </c>
      <c r="K31" s="759">
        <f t="shared" ca="1" si="4"/>
        <v>0</v>
      </c>
      <c r="L31" s="759">
        <f t="shared" ca="1" si="5"/>
        <v>0</v>
      </c>
      <c r="M31" s="759">
        <f t="shared" ca="1" si="6"/>
        <v>0</v>
      </c>
    </row>
    <row r="32" spans="1:13" ht="22.5" customHeight="1">
      <c r="A32" s="757">
        <f ca="1">IF(ROWS($1:17)&gt;COUNT(Dong9),"",OFFSET(TH!C$1,SMALL(Dong9,ROWS($1:17)),))</f>
        <v>41000</v>
      </c>
      <c r="B32" s="757" t="str">
        <f ca="1">IF(ROWS($1:17)&gt;COUNT(Dong9),"",OFFSET(TH!D$1,SMALL(Dong9,ROWS($1:17)),))</f>
        <v>VL/X01</v>
      </c>
      <c r="C32" s="757">
        <f ca="1">IF(ROWS($1:17)&gt;COUNT(Dong9),"",OFFSET(TH!E$1,SMALL(Dong9,ROWS($1:17)),))</f>
        <v>41000</v>
      </c>
      <c r="D32" s="758" t="str">
        <f ca="1">IF(ROWS($1:17)&gt;COUNT(Dong9),"",OFFSET(TH!F$1,SMALL(Dong9,ROWS($1:17)),))</f>
        <v>Kẽm đóng bao bì</v>
      </c>
      <c r="E32" s="757" t="str">
        <f ca="1">IF(ROWS($1:17)&gt;COUNT(Dong9),"",OFFSET(TH!M$1,SMALL(Dong9,ROWS($1:17)),))</f>
        <v>1522</v>
      </c>
      <c r="F32" s="759">
        <f ca="1">IF(ROWS($1:17)&gt;COUNT(Dong9),"",OFFSET(TH!K$1,SMALL(Dong9,ROWS($1:17)),))</f>
        <v>1250000</v>
      </c>
      <c r="G32" s="759">
        <f t="shared" ca="1" si="0"/>
        <v>0</v>
      </c>
      <c r="H32" s="759">
        <f t="shared" ca="1" si="1"/>
        <v>1250000</v>
      </c>
      <c r="I32" s="759">
        <f t="shared" ca="1" si="2"/>
        <v>0</v>
      </c>
      <c r="J32" s="759">
        <f t="shared" ca="1" si="3"/>
        <v>0</v>
      </c>
      <c r="K32" s="759">
        <f t="shared" ca="1" si="4"/>
        <v>0</v>
      </c>
      <c r="L32" s="759">
        <f t="shared" ca="1" si="5"/>
        <v>0</v>
      </c>
      <c r="M32" s="759">
        <f t="shared" ca="1" si="6"/>
        <v>0</v>
      </c>
    </row>
    <row r="33" spans="1:13" ht="22.5" customHeight="1">
      <c r="A33" s="757">
        <f ca="1">IF(ROWS($1:18)&gt;COUNT(Dong9),"",OFFSET(TH!C$1,SMALL(Dong9,ROWS($1:18)),))</f>
        <v>41052</v>
      </c>
      <c r="B33" s="757" t="str">
        <f ca="1">IF(ROWS($1:18)&gt;COUNT(Dong9),"",OFFSET(TH!D$1,SMALL(Dong9,ROWS($1:18)),))</f>
        <v>VL/X02</v>
      </c>
      <c r="C33" s="757">
        <f ca="1">IF(ROWS($1:18)&gt;COUNT(Dong9),"",OFFSET(TH!E$1,SMALL(Dong9,ROWS($1:18)),))</f>
        <v>41052</v>
      </c>
      <c r="D33" s="758" t="str">
        <f ca="1">IF(ROWS($1:18)&gt;COUNT(Dong9),"",OFFSET(TH!F$1,SMALL(Dong9,ROWS($1:18)),))</f>
        <v>Kẽm đóng bao bì</v>
      </c>
      <c r="E33" s="757" t="str">
        <f ca="1">IF(ROWS($1:18)&gt;COUNT(Dong9),"",OFFSET(TH!M$1,SMALL(Dong9,ROWS($1:18)),))</f>
        <v>1522</v>
      </c>
      <c r="F33" s="759">
        <f ca="1">IF(ROWS($1:18)&gt;COUNT(Dong9),"",OFFSET(TH!K$1,SMALL(Dong9,ROWS($1:18)),))</f>
        <v>1250000</v>
      </c>
      <c r="G33" s="759">
        <f t="shared" ca="1" si="0"/>
        <v>0</v>
      </c>
      <c r="H33" s="759">
        <f t="shared" ca="1" si="1"/>
        <v>1250000</v>
      </c>
      <c r="I33" s="759">
        <f t="shared" ca="1" si="2"/>
        <v>0</v>
      </c>
      <c r="J33" s="759">
        <f t="shared" ca="1" si="3"/>
        <v>0</v>
      </c>
      <c r="K33" s="759">
        <f t="shared" ca="1" si="4"/>
        <v>0</v>
      </c>
      <c r="L33" s="759">
        <f t="shared" ca="1" si="5"/>
        <v>0</v>
      </c>
      <c r="M33" s="759">
        <f t="shared" ca="1" si="6"/>
        <v>0</v>
      </c>
    </row>
    <row r="34" spans="1:13" ht="22.5" customHeight="1">
      <c r="A34" s="757">
        <f ca="1">IF(ROWS($1:19)&gt;COUNT(Dong9),"",OFFSET(TH!C$1,SMALL(Dong9,ROWS($1:19)),))</f>
        <v>41054</v>
      </c>
      <c r="B34" s="757" t="str">
        <f ca="1">IF(ROWS($1:19)&gt;COUNT(Dong9),"",OFFSET(TH!D$1,SMALL(Dong9,ROWS($1:19)),))</f>
        <v>VL/X03</v>
      </c>
      <c r="C34" s="757">
        <f ca="1">IF(ROWS($1:19)&gt;COUNT(Dong9),"",OFFSET(TH!E$1,SMALL(Dong9,ROWS($1:19)),))</f>
        <v>41054</v>
      </c>
      <c r="D34" s="758" t="str">
        <f ca="1">IF(ROWS($1:19)&gt;COUNT(Dong9),"",OFFSET(TH!F$1,SMALL(Dong9,ROWS($1:19)),))</f>
        <v>Dây nylon</v>
      </c>
      <c r="E34" s="757" t="str">
        <f ca="1">IF(ROWS($1:19)&gt;COUNT(Dong9),"",OFFSET(TH!M$1,SMALL(Dong9,ROWS($1:19)),))</f>
        <v>1522</v>
      </c>
      <c r="F34" s="759">
        <f ca="1">IF(ROWS($1:19)&gt;COUNT(Dong9),"",OFFSET(TH!K$1,SMALL(Dong9,ROWS($1:19)),))</f>
        <v>2016000</v>
      </c>
      <c r="G34" s="759">
        <f t="shared" ca="1" si="0"/>
        <v>0</v>
      </c>
      <c r="H34" s="759">
        <f t="shared" ca="1" si="1"/>
        <v>2016000</v>
      </c>
      <c r="I34" s="759">
        <f t="shared" ca="1" si="2"/>
        <v>0</v>
      </c>
      <c r="J34" s="759">
        <f t="shared" ca="1" si="3"/>
        <v>0</v>
      </c>
      <c r="K34" s="759">
        <f t="shared" ca="1" si="4"/>
        <v>0</v>
      </c>
      <c r="L34" s="759">
        <f t="shared" ca="1" si="5"/>
        <v>0</v>
      </c>
      <c r="M34" s="759">
        <f t="shared" ca="1" si="6"/>
        <v>0</v>
      </c>
    </row>
    <row r="35" spans="1:13" ht="22.5" customHeight="1">
      <c r="A35" s="757">
        <f ca="1">IF(ROWS($1:20)&gt;COUNT(Dong9),"",OFFSET(TH!C$1,SMALL(Dong9,ROWS($1:20)),))</f>
        <v>41060</v>
      </c>
      <c r="B35" s="757" t="str">
        <f ca="1">IF(ROWS($1:20)&gt;COUNT(Dong9),"",OFFSET(TH!D$1,SMALL(Dong9,ROWS($1:20)),))</f>
        <v>VL/X04</v>
      </c>
      <c r="C35" s="757">
        <f ca="1">IF(ROWS($1:20)&gt;COUNT(Dong9),"",OFFSET(TH!E$1,SMALL(Dong9,ROWS($1:20)),))</f>
        <v>41060</v>
      </c>
      <c r="D35" s="758" t="str">
        <f ca="1">IF(ROWS($1:20)&gt;COUNT(Dong9),"",OFFSET(TH!F$1,SMALL(Dong9,ROWS($1:20)),))</f>
        <v>Bảng in cau su</v>
      </c>
      <c r="E35" s="757" t="str">
        <f ca="1">IF(ROWS($1:20)&gt;COUNT(Dong9),"",OFFSET(TH!M$1,SMALL(Dong9,ROWS($1:20)),))</f>
        <v>1522</v>
      </c>
      <c r="F35" s="759">
        <f ca="1">IF(ROWS($1:20)&gt;COUNT(Dong9),"",OFFSET(TH!K$1,SMALL(Dong9,ROWS($1:20)),))</f>
        <v>8676750</v>
      </c>
      <c r="G35" s="759">
        <f t="shared" ca="1" si="0"/>
        <v>0</v>
      </c>
      <c r="H35" s="759">
        <f t="shared" ca="1" si="1"/>
        <v>8676750</v>
      </c>
      <c r="I35" s="759">
        <f t="shared" ca="1" si="2"/>
        <v>0</v>
      </c>
      <c r="J35" s="759">
        <f t="shared" ca="1" si="3"/>
        <v>0</v>
      </c>
      <c r="K35" s="759">
        <f t="shared" ca="1" si="4"/>
        <v>0</v>
      </c>
      <c r="L35" s="759">
        <f t="shared" ca="1" si="5"/>
        <v>0</v>
      </c>
      <c r="M35" s="759">
        <f t="shared" ca="1" si="6"/>
        <v>0</v>
      </c>
    </row>
    <row r="36" spans="1:13" ht="22.5" customHeight="1">
      <c r="A36" s="757"/>
      <c r="B36" s="760"/>
      <c r="C36" s="757"/>
      <c r="D36" s="761"/>
      <c r="E36" s="762"/>
      <c r="F36" s="763"/>
      <c r="G36" s="763"/>
      <c r="H36" s="763"/>
      <c r="I36" s="763"/>
      <c r="J36" s="763"/>
      <c r="K36" s="763"/>
      <c r="L36" s="763"/>
      <c r="M36" s="763"/>
    </row>
    <row r="37" spans="1:13" ht="22.5" customHeight="1">
      <c r="A37" s="757"/>
      <c r="B37" s="760"/>
      <c r="C37" s="757"/>
      <c r="D37" s="755" t="s">
        <v>135</v>
      </c>
      <c r="E37" s="754" t="s">
        <v>19</v>
      </c>
      <c r="F37" s="756">
        <f t="shared" ref="F37:M37" ca="1" si="7">SUM(F15:F36)</f>
        <v>96320750</v>
      </c>
      <c r="G37" s="756">
        <f t="shared" ca="1" si="7"/>
        <v>0</v>
      </c>
      <c r="H37" s="756">
        <f t="shared" ca="1" si="7"/>
        <v>13192750</v>
      </c>
      <c r="I37" s="756">
        <f t="shared" ca="1" si="7"/>
        <v>23060000</v>
      </c>
      <c r="J37" s="756">
        <f t="shared" ca="1" si="7"/>
        <v>40350000</v>
      </c>
      <c r="K37" s="756">
        <f t="shared" ca="1" si="7"/>
        <v>0</v>
      </c>
      <c r="L37" s="756">
        <f t="shared" ca="1" si="7"/>
        <v>0</v>
      </c>
      <c r="M37" s="756">
        <f t="shared" ca="1" si="7"/>
        <v>19718000</v>
      </c>
    </row>
    <row r="38" spans="1:13" ht="22.5" customHeight="1">
      <c r="A38" s="764"/>
      <c r="B38" s="762"/>
      <c r="C38" s="764"/>
      <c r="D38" s="765" t="s">
        <v>527</v>
      </c>
      <c r="E38" s="760"/>
      <c r="F38" s="766">
        <f ca="1">SUM(G38:M38)</f>
        <v>96320750</v>
      </c>
      <c r="G38" s="766">
        <f t="shared" ref="G38:M38" ca="1" si="8">G37</f>
        <v>0</v>
      </c>
      <c r="H38" s="766">
        <f t="shared" ca="1" si="8"/>
        <v>13192750</v>
      </c>
      <c r="I38" s="766">
        <f t="shared" ref="I38" ca="1" si="9">I37</f>
        <v>23060000</v>
      </c>
      <c r="J38" s="766">
        <f t="shared" ca="1" si="8"/>
        <v>40350000</v>
      </c>
      <c r="K38" s="766">
        <f t="shared" ca="1" si="8"/>
        <v>0</v>
      </c>
      <c r="L38" s="766">
        <f t="shared" ref="L38" ca="1" si="10">L37</f>
        <v>0</v>
      </c>
      <c r="M38" s="766">
        <f t="shared" ca="1" si="8"/>
        <v>19718000</v>
      </c>
    </row>
    <row r="39" spans="1:13" ht="22.5" customHeight="1">
      <c r="A39" s="767"/>
      <c r="B39" s="767"/>
      <c r="C39" s="767"/>
      <c r="D39" s="768" t="s">
        <v>10</v>
      </c>
      <c r="E39" s="767" t="s">
        <v>19</v>
      </c>
      <c r="F39" s="769">
        <f t="shared" ref="F39:M39" ca="1" si="11">F15+F37-F38</f>
        <v>0</v>
      </c>
      <c r="G39" s="769">
        <f t="shared" ca="1" si="11"/>
        <v>0</v>
      </c>
      <c r="H39" s="769">
        <f t="shared" ca="1" si="11"/>
        <v>0</v>
      </c>
      <c r="I39" s="769">
        <f t="shared" ca="1" si="11"/>
        <v>0</v>
      </c>
      <c r="J39" s="769">
        <f t="shared" ca="1" si="11"/>
        <v>0</v>
      </c>
      <c r="K39" s="769">
        <f t="shared" ca="1" si="11"/>
        <v>0</v>
      </c>
      <c r="L39" s="769">
        <f t="shared" ca="1" si="11"/>
        <v>0</v>
      </c>
      <c r="M39" s="769">
        <f t="shared" ca="1" si="11"/>
        <v>0</v>
      </c>
    </row>
    <row r="41" spans="1:13">
      <c r="B41" s="770"/>
      <c r="C41" s="750" t="s">
        <v>528</v>
      </c>
    </row>
    <row r="42" spans="1:13">
      <c r="C42" s="750" t="str">
        <f ca="1">"Ngày mở sổ: "&amp;"01/"&amp;MONTH(A16)&amp;"/ "&amp;YEAR(A16)</f>
        <v>Ngày mở sổ: 01/4/ 2012</v>
      </c>
    </row>
    <row r="43" spans="1:13">
      <c r="E43" s="749"/>
      <c r="F43" s="749"/>
      <c r="G43" s="749"/>
      <c r="H43" s="749"/>
      <c r="I43" s="749"/>
      <c r="J43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073"/>
      <c r="L43" s="1073"/>
      <c r="M43" s="1073"/>
    </row>
    <row r="44" spans="1:13">
      <c r="B44" s="749"/>
      <c r="C44" s="746" t="s">
        <v>11</v>
      </c>
      <c r="D44" s="749"/>
      <c r="E44" s="749"/>
      <c r="F44" s="749"/>
      <c r="G44" s="749"/>
      <c r="H44" s="749"/>
      <c r="I44" s="749"/>
      <c r="J44" s="1073" t="s">
        <v>12</v>
      </c>
      <c r="K44" s="1073"/>
      <c r="L44" s="1073"/>
      <c r="M44" s="1073"/>
    </row>
    <row r="45" spans="1:13">
      <c r="B45" s="749"/>
      <c r="C45" s="746" t="s">
        <v>13</v>
      </c>
      <c r="D45" s="749"/>
      <c r="E45" s="749"/>
      <c r="F45" s="749"/>
      <c r="G45" s="749"/>
      <c r="H45" s="749"/>
      <c r="I45" s="749"/>
      <c r="J45" s="749"/>
      <c r="K45" s="749" t="s">
        <v>13</v>
      </c>
      <c r="L45" s="749"/>
    </row>
  </sheetData>
  <mergeCells count="17"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J3:M3"/>
    <mergeCell ref="J4:M4"/>
    <mergeCell ref="A5:M5"/>
    <mergeCell ref="A6:M6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46" customWidth="1"/>
    <col min="2" max="2" width="8.85546875" style="746" customWidth="1"/>
    <col min="3" max="3" width="10.5703125" style="746" customWidth="1"/>
    <col min="4" max="4" width="31.85546875" style="746" customWidth="1"/>
    <col min="5" max="5" width="10.28515625" style="746" customWidth="1"/>
    <col min="6" max="6" width="15.28515625" style="746" customWidth="1"/>
    <col min="7" max="7" width="9.42578125" style="746" customWidth="1"/>
    <col min="8" max="8" width="15.140625" style="746" customWidth="1"/>
    <col min="9" max="9" width="9.140625" style="746"/>
    <col min="10" max="10" width="16.28515625" style="746" customWidth="1"/>
    <col min="11" max="11" width="6" style="746" customWidth="1"/>
    <col min="12" max="16384" width="9.140625" style="746"/>
  </cols>
  <sheetData>
    <row r="2" spans="1:13">
      <c r="A2" s="745" t="str">
        <f>'154'!A2</f>
        <v>Đơn vị: CÔNG TY TNHH SX TM KIM DUNG PHÁT</v>
      </c>
      <c r="F2" s="747"/>
      <c r="G2" s="747"/>
      <c r="H2" s="747" t="s">
        <v>515</v>
      </c>
      <c r="J2" s="771"/>
    </row>
    <row r="3" spans="1:13" ht="15" customHeight="1">
      <c r="A3" s="776" t="str">
        <f>'154'!A3</f>
        <v>Địa chỉ: 1A227/1 Ấp 1, Phạm Văn Hai, Bình Chánh, TPHCM</v>
      </c>
      <c r="H3" s="746" t="s">
        <v>162</v>
      </c>
      <c r="J3" s="749"/>
    </row>
    <row r="4" spans="1:13">
      <c r="H4" s="746" t="s">
        <v>163</v>
      </c>
      <c r="J4" s="749"/>
    </row>
    <row r="5" spans="1:13" ht="27" customHeight="1">
      <c r="A5" s="1116" t="s">
        <v>516</v>
      </c>
      <c r="B5" s="1116"/>
      <c r="C5" s="1116"/>
      <c r="D5" s="1116"/>
      <c r="E5" s="1116"/>
      <c r="F5" s="1116"/>
      <c r="G5" s="1116"/>
      <c r="H5" s="1116"/>
      <c r="I5" s="1116"/>
      <c r="J5" s="1116"/>
      <c r="K5" s="748" t="s">
        <v>183</v>
      </c>
      <c r="L5" s="661">
        <f>IF(L13="Quý I",1,IF(L13="Quý II",4,IF(L13="Quý III",7,IF(L13="Quý IV",10,""))))</f>
        <v>4</v>
      </c>
      <c r="M5" s="661">
        <f>IF(L13="Quý I",3,IF(L13="Quý II",6,IF(L13="Quý III",9,IF(L13="Quý IV",12,""))))</f>
        <v>6</v>
      </c>
    </row>
    <row r="6" spans="1:13">
      <c r="A6" s="1115" t="s">
        <v>517</v>
      </c>
      <c r="B6" s="1115"/>
      <c r="C6" s="1115"/>
      <c r="D6" s="1115"/>
      <c r="E6" s="1115"/>
      <c r="F6" s="1115"/>
      <c r="G6" s="1115"/>
      <c r="H6" s="1115"/>
      <c r="I6" s="1115"/>
      <c r="J6" s="1115"/>
    </row>
    <row r="7" spans="1:13">
      <c r="B7" s="749"/>
      <c r="C7" s="749"/>
      <c r="D7" s="749"/>
      <c r="E7" s="750" t="s">
        <v>529</v>
      </c>
      <c r="G7" s="749"/>
      <c r="H7" s="749"/>
      <c r="I7" s="749"/>
      <c r="J7" s="749"/>
    </row>
    <row r="8" spans="1:13">
      <c r="B8" s="749"/>
      <c r="C8" s="749"/>
      <c r="D8" s="749"/>
      <c r="E8" s="750" t="s">
        <v>519</v>
      </c>
      <c r="G8" s="749"/>
      <c r="H8" s="749"/>
      <c r="I8" s="749"/>
      <c r="J8" s="749"/>
    </row>
    <row r="9" spans="1:13">
      <c r="B9" s="751"/>
      <c r="C9" s="751"/>
      <c r="D9" s="751"/>
      <c r="E9" s="750" t="s">
        <v>520</v>
      </c>
      <c r="G9" s="751"/>
      <c r="H9" s="751"/>
      <c r="I9" s="751"/>
      <c r="J9" s="751"/>
    </row>
    <row r="10" spans="1:13" ht="9.75" customHeight="1">
      <c r="C10" s="1112"/>
      <c r="D10" s="1112"/>
      <c r="E10" s="1112"/>
      <c r="F10" s="1112"/>
      <c r="G10" s="1112"/>
      <c r="H10" s="1112"/>
      <c r="I10" s="1112"/>
      <c r="J10" s="1112"/>
    </row>
    <row r="11" spans="1:13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530</v>
      </c>
      <c r="G11" s="1118"/>
      <c r="H11" s="1118"/>
      <c r="I11" s="1118"/>
      <c r="J11" s="1118"/>
    </row>
    <row r="12" spans="1:13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</row>
    <row r="13" spans="1:13" ht="30.75" customHeight="1" thickBot="1">
      <c r="A13" s="1117"/>
      <c r="B13" s="1119"/>
      <c r="C13" s="1119"/>
      <c r="D13" s="1117"/>
      <c r="E13" s="1117"/>
      <c r="F13" s="1119"/>
      <c r="G13" s="752">
        <v>154</v>
      </c>
      <c r="H13" s="752">
        <v>155</v>
      </c>
      <c r="I13" s="752">
        <v>156</v>
      </c>
      <c r="J13" s="752">
        <v>157</v>
      </c>
      <c r="L13" s="775" t="s">
        <v>399</v>
      </c>
    </row>
    <row r="14" spans="1:13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</row>
    <row r="15" spans="1:13" ht="20.2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</row>
    <row r="16" spans="1:13" ht="20.25" customHeight="1">
      <c r="A16" s="757">
        <f ca="1">IF(ROWS($1:1)&gt;COUNT(Dong8),"",OFFSET(TH!C$1,SMALL(Dong8,ROWS($1:1)),))</f>
        <v>41053</v>
      </c>
      <c r="B16" s="757" t="str">
        <f ca="1">IF(ROWS($1:1)&gt;COUNT(Dong8),"",OFFSET(TH!D$1,SMALL(Dong8,ROWS($1:1)),))</f>
        <v>XB/GV</v>
      </c>
      <c r="C16" s="757">
        <f ca="1">IF(ROWS($1:1)&gt;COUNT(Dong8),"",OFFSET(TH!E$1,SMALL(Dong8,ROWS($1:1)),))</f>
        <v>41053</v>
      </c>
      <c r="D16" s="758" t="str">
        <f ca="1">IF(ROWS($1:1)&gt;COUNT(Dong8),"",OFFSET(TH!F$1,SMALL(Dong8,ROWS($1:1)),))</f>
        <v>Giấy 7 lớp (175x105)</v>
      </c>
      <c r="E16" s="757" t="str">
        <f ca="1">IF(ROWS($1:1)&gt;COUNT(Dong8),"",OFFSET(TH!M$1,SMALL(Dong8,ROWS($1:1)),))</f>
        <v>155</v>
      </c>
      <c r="F16" s="759">
        <f ca="1">IF(ROWS($1:1)&gt;COUNT(Dong8),"",OFFSET(TH!K$1,SMALL(Dong8,ROWS($1:1)),))</f>
        <v>7993200</v>
      </c>
      <c r="G16" s="759">
        <f ca="1">IF($E16="154",$F16,0)</f>
        <v>0</v>
      </c>
      <c r="H16" s="759">
        <f ca="1">IF($E16="155",$F16,0)</f>
        <v>7993200</v>
      </c>
      <c r="I16" s="759">
        <f ca="1">IF($E16="156",$F16,0)</f>
        <v>0</v>
      </c>
      <c r="J16" s="759">
        <f ca="1">IF($E16="157",$F16,0)</f>
        <v>0</v>
      </c>
    </row>
    <row r="17" spans="1:10" ht="20.25" customHeight="1">
      <c r="A17" s="757">
        <f ca="1">IF(ROWS($1:2)&gt;COUNT(Dong8),"",OFFSET(TH!C$1,SMALL(Dong8,ROWS($1:2)),))</f>
        <v>41053</v>
      </c>
      <c r="B17" s="757" t="str">
        <f ca="1">IF(ROWS($1:2)&gt;COUNT(Dong8),"",OFFSET(TH!D$1,SMALL(Dong8,ROWS($1:2)),))</f>
        <v>XB/GV</v>
      </c>
      <c r="C17" s="757">
        <f ca="1">IF(ROWS($1:2)&gt;COUNT(Dong8),"",OFFSET(TH!E$1,SMALL(Dong8,ROWS($1:2)),))</f>
        <v>41053</v>
      </c>
      <c r="D17" s="758" t="str">
        <f ca="1">IF(ROWS($1:2)&gt;COUNT(Dong8),"",OFFSET(TH!F$1,SMALL(Dong8,ROWS($1:2)),))</f>
        <v>Giấy 7 lớp (145x90)</v>
      </c>
      <c r="E17" s="757" t="str">
        <f ca="1">IF(ROWS($1:2)&gt;COUNT(Dong8),"",OFFSET(TH!M$1,SMALL(Dong8,ROWS($1:2)),))</f>
        <v>155</v>
      </c>
      <c r="F17" s="759">
        <f ca="1">IF(ROWS($1:2)&gt;COUNT(Dong8),"",OFFSET(TH!K$1,SMALL(Dong8,ROWS($1:2)),))</f>
        <v>9461500</v>
      </c>
      <c r="G17" s="759">
        <f t="shared" ref="G17:G20" ca="1" si="0">IF($E17="154",$F17,0)</f>
        <v>0</v>
      </c>
      <c r="H17" s="759">
        <f t="shared" ref="H17:H20" ca="1" si="1">IF($E17="155",$F17,0)</f>
        <v>9461500</v>
      </c>
      <c r="I17" s="759">
        <f t="shared" ref="I17:I20" ca="1" si="2">IF($E17="156",$F17,0)</f>
        <v>0</v>
      </c>
      <c r="J17" s="759">
        <f t="shared" ref="J17:J20" ca="1" si="3">IF($E17="157",$F17,0)</f>
        <v>0</v>
      </c>
    </row>
    <row r="18" spans="1:10" ht="20.25" customHeight="1">
      <c r="A18" s="757">
        <f ca="1">IF(ROWS($1:3)&gt;COUNT(Dong8),"",OFFSET(TH!C$1,SMALL(Dong8,ROWS($1:3)),))</f>
        <v>41054</v>
      </c>
      <c r="B18" s="757" t="str">
        <f ca="1">IF(ROWS($1:3)&gt;COUNT(Dong8),"",OFFSET(TH!D$1,SMALL(Dong8,ROWS($1:3)),))</f>
        <v>XB/GV</v>
      </c>
      <c r="C18" s="757">
        <f ca="1">IF(ROWS($1:3)&gt;COUNT(Dong8),"",OFFSET(TH!E$1,SMALL(Dong8,ROWS($1:3)),))</f>
        <v>41054</v>
      </c>
      <c r="D18" s="758" t="str">
        <f ca="1">IF(ROWS($1:3)&gt;COUNT(Dong8),"",OFFSET(TH!F$1,SMALL(Dong8,ROWS($1:3)),))</f>
        <v>Giấy 7 lớp (125x80)</v>
      </c>
      <c r="E18" s="757" t="str">
        <f ca="1">IF(ROWS($1:3)&gt;COUNT(Dong8),"",OFFSET(TH!M$1,SMALL(Dong8,ROWS($1:3)),))</f>
        <v>155</v>
      </c>
      <c r="F18" s="759">
        <f ca="1">IF(ROWS($1:3)&gt;COUNT(Dong8),"",OFFSET(TH!K$1,SMALL(Dong8,ROWS($1:3)),))</f>
        <v>7250000</v>
      </c>
      <c r="G18" s="759">
        <f t="shared" ca="1" si="0"/>
        <v>0</v>
      </c>
      <c r="H18" s="759">
        <f t="shared" ca="1" si="1"/>
        <v>7250000</v>
      </c>
      <c r="I18" s="759">
        <f t="shared" ca="1" si="2"/>
        <v>0</v>
      </c>
      <c r="J18" s="759">
        <f t="shared" ca="1" si="3"/>
        <v>0</v>
      </c>
    </row>
    <row r="19" spans="1:10" ht="20.25" customHeight="1">
      <c r="A19" s="757">
        <f ca="1">IF(ROWS($1:4)&gt;COUNT(Dong8),"",OFFSET(TH!C$1,SMALL(Dong8,ROWS($1:4)),))</f>
        <v>41054</v>
      </c>
      <c r="B19" s="757" t="str">
        <f ca="1">IF(ROWS($1:4)&gt;COUNT(Dong8),"",OFFSET(TH!D$1,SMALL(Dong8,ROWS($1:4)),))</f>
        <v>XB/GV</v>
      </c>
      <c r="C19" s="757">
        <f ca="1">IF(ROWS($1:4)&gt;COUNT(Dong8),"",OFFSET(TH!E$1,SMALL(Dong8,ROWS($1:4)),))</f>
        <v>41054</v>
      </c>
      <c r="D19" s="758" t="str">
        <f ca="1">IF(ROWS($1:4)&gt;COUNT(Dong8),"",OFFSET(TH!F$1,SMALL(Dong8,ROWS($1:4)),))</f>
        <v>Giấy 7 lớp (125x95)</v>
      </c>
      <c r="E19" s="757" t="str">
        <f ca="1">IF(ROWS($1:4)&gt;COUNT(Dong8),"",OFFSET(TH!M$1,SMALL(Dong8,ROWS($1:4)),))</f>
        <v>155</v>
      </c>
      <c r="F19" s="759">
        <f ca="1">IF(ROWS($1:4)&gt;COUNT(Dong8),"",OFFSET(TH!K$1,SMALL(Dong8,ROWS($1:4)),))</f>
        <v>8609500</v>
      </c>
      <c r="G19" s="759">
        <f t="shared" ca="1" si="0"/>
        <v>0</v>
      </c>
      <c r="H19" s="759">
        <f t="shared" ca="1" si="1"/>
        <v>8609500</v>
      </c>
      <c r="I19" s="759">
        <f t="shared" ca="1" si="2"/>
        <v>0</v>
      </c>
      <c r="J19" s="759">
        <f t="shared" ca="1" si="3"/>
        <v>0</v>
      </c>
    </row>
    <row r="20" spans="1:10" ht="20.25" customHeight="1">
      <c r="A20" s="757">
        <f ca="1">IF(ROWS($1:5)&gt;COUNT(Dong8),"",OFFSET(TH!C$1,SMALL(Dong8,ROWS($1:5)),))</f>
        <v>41055</v>
      </c>
      <c r="B20" s="757" t="str">
        <f ca="1">IF(ROWS($1:5)&gt;COUNT(Dong8),"",OFFSET(TH!D$1,SMALL(Dong8,ROWS($1:5)),))</f>
        <v>XB/GV</v>
      </c>
      <c r="C20" s="757">
        <f ca="1">IF(ROWS($1:5)&gt;COUNT(Dong8),"",OFFSET(TH!E$1,SMALL(Dong8,ROWS($1:5)),))</f>
        <v>41055</v>
      </c>
      <c r="D20" s="758" t="str">
        <f ca="1">IF(ROWS($1:5)&gt;COUNT(Dong8),"",OFFSET(TH!F$1,SMALL(Dong8,ROWS($1:5)),))</f>
        <v>Giấy 7 lớp (145x95)</v>
      </c>
      <c r="E20" s="757" t="str">
        <f ca="1">IF(ROWS($1:5)&gt;COUNT(Dong8),"",OFFSET(TH!M$1,SMALL(Dong8,ROWS($1:5)),))</f>
        <v>155</v>
      </c>
      <c r="F20" s="759">
        <f ca="1">IF(ROWS($1:5)&gt;COUNT(Dong8),"",OFFSET(TH!K$1,SMALL(Dong8,ROWS($1:5)),))</f>
        <v>9987000</v>
      </c>
      <c r="G20" s="759">
        <f t="shared" ca="1" si="0"/>
        <v>0</v>
      </c>
      <c r="H20" s="759">
        <f t="shared" ca="1" si="1"/>
        <v>9987000</v>
      </c>
      <c r="I20" s="759">
        <f t="shared" ca="1" si="2"/>
        <v>0</v>
      </c>
      <c r="J20" s="759">
        <f t="shared" ca="1" si="3"/>
        <v>0</v>
      </c>
    </row>
    <row r="21" spans="1:10" ht="20.25" customHeight="1">
      <c r="A21" s="757"/>
      <c r="B21" s="760"/>
      <c r="C21" s="757"/>
      <c r="D21" s="761"/>
      <c r="E21" s="762"/>
      <c r="F21" s="763"/>
      <c r="G21" s="763"/>
      <c r="H21" s="763"/>
      <c r="I21" s="763"/>
      <c r="J21" s="763"/>
    </row>
    <row r="22" spans="1:10" ht="20.25" customHeight="1">
      <c r="A22" s="757"/>
      <c r="B22" s="760"/>
      <c r="C22" s="757"/>
      <c r="D22" s="755" t="s">
        <v>135</v>
      </c>
      <c r="E22" s="754" t="s">
        <v>19</v>
      </c>
      <c r="F22" s="756">
        <f ca="1">SUM(F15:F21)</f>
        <v>43301200</v>
      </c>
      <c r="G22" s="756">
        <f ca="1">SUM(G15:G21)</f>
        <v>0</v>
      </c>
      <c r="H22" s="756">
        <f ca="1">SUM(H15:H21)</f>
        <v>43301200</v>
      </c>
      <c r="I22" s="756">
        <f ca="1">SUM(I15:I21)</f>
        <v>0</v>
      </c>
      <c r="J22" s="756">
        <f ca="1">SUM(J15:J21)</f>
        <v>0</v>
      </c>
    </row>
    <row r="23" spans="1:10" ht="20.25" customHeight="1">
      <c r="A23" s="764"/>
      <c r="B23" s="762"/>
      <c r="C23" s="764"/>
      <c r="D23" s="765" t="s">
        <v>531</v>
      </c>
      <c r="E23" s="760"/>
      <c r="F23" s="766">
        <f ca="1">SUM(G23:J23)</f>
        <v>43301200</v>
      </c>
      <c r="G23" s="766">
        <f ca="1">G22</f>
        <v>0</v>
      </c>
      <c r="H23" s="766">
        <f ca="1">H22</f>
        <v>43301200</v>
      </c>
      <c r="I23" s="766">
        <f ca="1">I22</f>
        <v>0</v>
      </c>
      <c r="J23" s="766">
        <f ca="1">J22</f>
        <v>0</v>
      </c>
    </row>
    <row r="24" spans="1:10" ht="20.25" customHeight="1">
      <c r="A24" s="767"/>
      <c r="B24" s="767"/>
      <c r="C24" s="767"/>
      <c r="D24" s="768" t="s">
        <v>10</v>
      </c>
      <c r="E24" s="767" t="s">
        <v>19</v>
      </c>
      <c r="F24" s="769">
        <f ca="1">F15+F22-F23</f>
        <v>0</v>
      </c>
      <c r="G24" s="769">
        <f ca="1">G15+G22-G23</f>
        <v>0</v>
      </c>
      <c r="H24" s="769">
        <f ca="1">H15+H22-H23</f>
        <v>0</v>
      </c>
      <c r="I24" s="769">
        <f ca="1">I15+I22-I23</f>
        <v>0</v>
      </c>
      <c r="J24" s="769">
        <f ca="1">J15+J22-J23</f>
        <v>0</v>
      </c>
    </row>
    <row r="26" spans="1:10">
      <c r="B26" s="770"/>
      <c r="C26" s="750" t="s">
        <v>532</v>
      </c>
    </row>
    <row r="27" spans="1:10">
      <c r="C27" s="750" t="str">
        <f ca="1">"- Ngày mở sổ: "&amp;"01/"&amp;MONTH(A16)&amp;"/ "&amp;YEAR(A16)</f>
        <v>- Ngày mở sổ: 01/5/ 2012</v>
      </c>
    </row>
    <row r="28" spans="1:10">
      <c r="E28" s="749"/>
      <c r="F28" s="749"/>
      <c r="G28" s="749"/>
      <c r="H28" s="749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2012</v>
      </c>
      <c r="J28" s="1073"/>
    </row>
    <row r="29" spans="1:10">
      <c r="B29" s="749"/>
      <c r="C29" s="746" t="s">
        <v>11</v>
      </c>
      <c r="D29" s="749"/>
      <c r="E29" s="749"/>
      <c r="F29" s="749"/>
      <c r="G29" s="749"/>
      <c r="H29" s="749"/>
      <c r="I29" s="1073" t="s">
        <v>12</v>
      </c>
      <c r="J29" s="1073"/>
    </row>
    <row r="30" spans="1:10">
      <c r="B30" s="749"/>
      <c r="C30" s="746" t="s">
        <v>13</v>
      </c>
      <c r="D30" s="749"/>
      <c r="E30" s="749"/>
      <c r="F30" s="749"/>
      <c r="G30" s="749"/>
      <c r="H30" s="749"/>
      <c r="I30" s="749"/>
      <c r="J30" s="749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46" customWidth="1"/>
    <col min="3" max="3" width="8.5703125" style="746" customWidth="1"/>
    <col min="4" max="4" width="51.42578125" style="746" customWidth="1"/>
    <col min="5" max="5" width="8" style="746" customWidth="1"/>
    <col min="6" max="6" width="12.28515625" style="746" bestFit="1" customWidth="1"/>
    <col min="7" max="7" width="10.140625" style="746" customWidth="1"/>
    <col min="8" max="8" width="10.7109375" style="746" customWidth="1"/>
    <col min="9" max="9" width="11.42578125" style="746" customWidth="1"/>
    <col min="10" max="10" width="11.5703125" style="746" customWidth="1"/>
    <col min="11" max="11" width="11.42578125" style="746" customWidth="1"/>
    <col min="12" max="12" width="9.42578125" style="746" customWidth="1"/>
    <col min="13" max="13" width="6.7109375" style="746" customWidth="1"/>
    <col min="14" max="16384" width="9.140625" style="746"/>
  </cols>
  <sheetData>
    <row r="2" spans="1:15">
      <c r="A2" s="745" t="str">
        <f>'632'!A2</f>
        <v>Đơn vị: CÔNG TY TNHH SX TM KIM DUNG PHÁT</v>
      </c>
      <c r="F2" s="747"/>
      <c r="G2" s="747"/>
      <c r="H2" s="747"/>
      <c r="I2" s="747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746" t="s">
        <v>162</v>
      </c>
      <c r="J3" s="773"/>
      <c r="K3" s="773"/>
      <c r="L3" s="749"/>
    </row>
    <row r="4" spans="1:15">
      <c r="I4" s="746" t="s">
        <v>163</v>
      </c>
      <c r="J4" s="749"/>
      <c r="K4" s="749"/>
      <c r="L4" s="749"/>
    </row>
    <row r="5" spans="1:15" ht="19.5" customHeight="1">
      <c r="A5" s="1116" t="s">
        <v>516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48" t="s">
        <v>84</v>
      </c>
      <c r="N5" s="661">
        <f>IF(N13="Quý I",1,IF(N13="Quý II",4,IF(N13="Quý III",7,IF(N13="Quý IV",10,""))))</f>
        <v>4</v>
      </c>
      <c r="O5" s="661">
        <f>IF(N13="Quý I",3,IF(N13="Quý II",6,IF(N13="Quý III",9,IF(N13="Quý IV",12,""))))</f>
        <v>6</v>
      </c>
    </row>
    <row r="6" spans="1:15">
      <c r="A6" s="1115" t="s">
        <v>517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</row>
    <row r="7" spans="1:15">
      <c r="B7" s="749"/>
      <c r="C7" s="749"/>
      <c r="D7" s="749"/>
      <c r="E7" s="750" t="s">
        <v>533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534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72" t="s">
        <v>48</v>
      </c>
      <c r="H13" s="772" t="s">
        <v>24</v>
      </c>
      <c r="I13" s="772" t="s">
        <v>64</v>
      </c>
      <c r="J13" s="772" t="s">
        <v>287</v>
      </c>
      <c r="K13" s="772"/>
      <c r="L13" s="772"/>
      <c r="N13" s="775" t="s">
        <v>399</v>
      </c>
    </row>
    <row r="14" spans="1:15">
      <c r="A14" s="753" t="s">
        <v>2</v>
      </c>
      <c r="B14" s="753" t="s">
        <v>3</v>
      </c>
      <c r="C14" s="753" t="s">
        <v>4</v>
      </c>
      <c r="D14" s="753" t="s">
        <v>5</v>
      </c>
      <c r="E14" s="753" t="s">
        <v>6</v>
      </c>
      <c r="F14" s="753">
        <v>1</v>
      </c>
      <c r="G14" s="753">
        <v>2</v>
      </c>
      <c r="H14" s="753">
        <v>3</v>
      </c>
      <c r="I14" s="753">
        <v>4</v>
      </c>
      <c r="J14" s="753">
        <v>5</v>
      </c>
      <c r="K14" s="753">
        <v>6</v>
      </c>
      <c r="L14" s="753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>
        <f ca="1">IF(ROWS($1:1)&gt;COUNT(Dong7),"",OFFSET(TH!C$1,SMALL(Dong7,ROWS($1:1)),))</f>
        <v>41000</v>
      </c>
      <c r="B16" s="757" t="str">
        <f ca="1">IF(ROWS($1:1)&gt;COUNT(Dong7),"",OFFSET(TH!D$1,SMALL(Dong7,ROWS($1:1)),))</f>
        <v>C01</v>
      </c>
      <c r="C16" s="757">
        <f ca="1">IF(ROWS($1:1)&gt;COUNT(Dong7),"",OFFSET(TH!E$1,SMALL(Dong7,ROWS($1:1)),))</f>
        <v>40987</v>
      </c>
      <c r="D16" s="758" t="str">
        <f ca="1">IF(ROWS($1:1)&gt;COUNT(Dong7),"",OFFSET(TH!F$1,SMALL(Dong7,ROWS($1:1)),))</f>
        <v>Cước dịch vụ viễn thông TPHCM</v>
      </c>
      <c r="E16" s="757" t="str">
        <f ca="1">IF(ROWS($1:1)&gt;COUNT(Dong7),"",OFFSET(TH!M$1,SMALL(Dong7,ROWS($1:1)),))</f>
        <v>1111</v>
      </c>
      <c r="F16" s="759">
        <f ca="1">IF(ROWS($1:1)&gt;COUNT(Dong7),"",OFFSET(TH!K$1,SMALL(Dong7,ROWS($1:1)),))</f>
        <v>904950</v>
      </c>
      <c r="G16" s="759">
        <f t="shared" ref="G16:J30" ca="1" si="0">IF($E16=G$13,$F16,0)</f>
        <v>904950</v>
      </c>
      <c r="H16" s="759">
        <f t="shared" ca="1" si="0"/>
        <v>0</v>
      </c>
      <c r="I16" s="759">
        <f t="shared" ca="1" si="0"/>
        <v>0</v>
      </c>
      <c r="J16" s="759">
        <f t="shared" ca="1" si="0"/>
        <v>0</v>
      </c>
      <c r="K16" s="759">
        <f ca="1">IF(LEFT($E16,3)=K$13,$F16,0)</f>
        <v>0</v>
      </c>
      <c r="L16" s="759">
        <f ca="1">IF(LEFT($E16,3)=L$13,$F16,0)</f>
        <v>0</v>
      </c>
    </row>
    <row r="17" spans="1:12" ht="21.75" customHeight="1">
      <c r="A17" s="757">
        <f ca="1">IF(ROWS($1:2)&gt;COUNT(Dong7),"",OFFSET(TH!C$1,SMALL(Dong7,ROWS($1:2)),))</f>
        <v>41009</v>
      </c>
      <c r="B17" s="757" t="str">
        <f ca="1">IF(ROWS($1:2)&gt;COUNT(Dong7),"",OFFSET(TH!D$1,SMALL(Dong7,ROWS($1:2)),))</f>
        <v>GBN</v>
      </c>
      <c r="C17" s="757">
        <f ca="1">IF(ROWS($1:2)&gt;COUNT(Dong7),"",OFFSET(TH!E$1,SMALL(Dong7,ROWS($1:2)),))</f>
        <v>41009</v>
      </c>
      <c r="D17" s="758" t="str">
        <f ca="1">IF(ROWS($1:2)&gt;COUNT(Dong7),"",OFFSET(TH!F$1,SMALL(Dong7,ROWS($1:2)),))</f>
        <v>Phí chuyển tiền</v>
      </c>
      <c r="E17" s="757" t="str">
        <f ca="1">IF(ROWS($1:2)&gt;COUNT(Dong7),"",OFFSET(TH!M$1,SMALL(Dong7,ROWS($1:2)),))</f>
        <v>1121</v>
      </c>
      <c r="F17" s="759">
        <f ca="1">IF(ROWS($1:2)&gt;COUNT(Dong7),"",OFFSET(TH!K$1,SMALL(Dong7,ROWS($1:2)),))</f>
        <v>10000</v>
      </c>
      <c r="G17" s="759">
        <f t="shared" ca="1" si="0"/>
        <v>0</v>
      </c>
      <c r="H17" s="759">
        <f t="shared" ca="1" si="0"/>
        <v>10000</v>
      </c>
      <c r="I17" s="759">
        <f t="shared" ca="1" si="0"/>
        <v>0</v>
      </c>
      <c r="J17" s="759">
        <f t="shared" ca="1" si="0"/>
        <v>0</v>
      </c>
      <c r="K17" s="759">
        <f t="shared" ref="K17:L30" ca="1" si="1">IF(LEFT($E17,3)=K$13,$F17,0)</f>
        <v>0</v>
      </c>
      <c r="L17" s="759">
        <f t="shared" ca="1" si="1"/>
        <v>0</v>
      </c>
    </row>
    <row r="18" spans="1:12" ht="21.75" customHeight="1">
      <c r="A18" s="757">
        <f ca="1">IF(ROWS($1:3)&gt;COUNT(Dong7),"",OFFSET(TH!C$1,SMALL(Dong7,ROWS($1:3)),))</f>
        <v>41012</v>
      </c>
      <c r="B18" s="757" t="str">
        <f ca="1">IF(ROWS($1:3)&gt;COUNT(Dong7),"",OFFSET(TH!D$1,SMALL(Dong7,ROWS($1:3)),))</f>
        <v>GBN</v>
      </c>
      <c r="C18" s="757">
        <f ca="1">IF(ROWS($1:3)&gt;COUNT(Dong7),"",OFFSET(TH!E$1,SMALL(Dong7,ROWS($1:3)),))</f>
        <v>41012</v>
      </c>
      <c r="D18" s="758" t="str">
        <f ca="1">IF(ROWS($1:3)&gt;COUNT(Dong7),"",OFFSET(TH!F$1,SMALL(Dong7,ROWS($1:3)),))</f>
        <v>Phí chuyển tiền</v>
      </c>
      <c r="E18" s="757" t="str">
        <f ca="1">IF(ROWS($1:3)&gt;COUNT(Dong7),"",OFFSET(TH!M$1,SMALL(Dong7,ROWS($1:3)),))</f>
        <v>1121</v>
      </c>
      <c r="F18" s="759">
        <f ca="1">IF(ROWS($1:3)&gt;COUNT(Dong7),"",OFFSET(TH!K$1,SMALL(Dong7,ROWS($1:3)),))</f>
        <v>20000</v>
      </c>
      <c r="G18" s="759">
        <f t="shared" ca="1" si="0"/>
        <v>0</v>
      </c>
      <c r="H18" s="759">
        <f t="shared" ca="1" si="0"/>
        <v>20000</v>
      </c>
      <c r="I18" s="759">
        <f t="shared" ca="1" si="0"/>
        <v>0</v>
      </c>
      <c r="J18" s="759">
        <f t="shared" ca="1" si="0"/>
        <v>0</v>
      </c>
      <c r="K18" s="759">
        <f t="shared" ca="1" si="1"/>
        <v>0</v>
      </c>
      <c r="L18" s="759">
        <f t="shared" ca="1" si="1"/>
        <v>0</v>
      </c>
    </row>
    <row r="19" spans="1:12" ht="21.75" customHeight="1">
      <c r="A19" s="757">
        <f ca="1">IF(ROWS($1:4)&gt;COUNT(Dong7),"",OFFSET(TH!C$1,SMALL(Dong7,ROWS($1:4)),))</f>
        <v>41016</v>
      </c>
      <c r="B19" s="757" t="str">
        <f ca="1">IF(ROWS($1:4)&gt;COUNT(Dong7),"",OFFSET(TH!D$1,SMALL(Dong7,ROWS($1:4)),))</f>
        <v>C02</v>
      </c>
      <c r="C19" s="757">
        <f ca="1">IF(ROWS($1:4)&gt;COUNT(Dong7),"",OFFSET(TH!E$1,SMALL(Dong7,ROWS($1:4)),))</f>
        <v>41016</v>
      </c>
      <c r="D19" s="758" t="str">
        <f ca="1">IF(ROWS($1:4)&gt;COUNT(Dong7),"",OFFSET(TH!F$1,SMALL(Dong7,ROWS($1:4)),))</f>
        <v>Cước dịch vụ viễn thông TPHCM</v>
      </c>
      <c r="E19" s="757" t="str">
        <f ca="1">IF(ROWS($1:4)&gt;COUNT(Dong7),"",OFFSET(TH!M$1,SMALL(Dong7,ROWS($1:4)),))</f>
        <v>1111</v>
      </c>
      <c r="F19" s="759">
        <f ca="1">IF(ROWS($1:4)&gt;COUNT(Dong7),"",OFFSET(TH!K$1,SMALL(Dong7,ROWS($1:4)),))</f>
        <v>953770</v>
      </c>
      <c r="G19" s="759">
        <f t="shared" ca="1" si="0"/>
        <v>953770</v>
      </c>
      <c r="H19" s="759">
        <f t="shared" ca="1" si="0"/>
        <v>0</v>
      </c>
      <c r="I19" s="759">
        <f t="shared" ca="1" si="0"/>
        <v>0</v>
      </c>
      <c r="J19" s="759">
        <f t="shared" ca="1" si="0"/>
        <v>0</v>
      </c>
      <c r="K19" s="759">
        <f t="shared" ca="1" si="1"/>
        <v>0</v>
      </c>
      <c r="L19" s="759">
        <f t="shared" ca="1" si="1"/>
        <v>0</v>
      </c>
    </row>
    <row r="20" spans="1:12" ht="21.75" customHeight="1">
      <c r="A20" s="757">
        <f ca="1">IF(ROWS($1:5)&gt;COUNT(Dong7),"",OFFSET(TH!C$1,SMALL(Dong7,ROWS($1:5)),))</f>
        <v>41029</v>
      </c>
      <c r="B20" s="757" t="str">
        <f ca="1">IF(ROWS($1:5)&gt;COUNT(Dong7),"",OFFSET(TH!D$1,SMALL(Dong7,ROWS($1:5)),))</f>
        <v>CTGS</v>
      </c>
      <c r="C20" s="757">
        <f ca="1">IF(ROWS($1:5)&gt;COUNT(Dong7),"",OFFSET(TH!E$1,SMALL(Dong7,ROWS($1:5)),))</f>
        <v>41029</v>
      </c>
      <c r="D20" s="758" t="str">
        <f ca="1">IF(ROWS($1:5)&gt;COUNT(Dong7),"",OFFSET(TH!F$1,SMALL(Dong7,ROWS($1:5)),))</f>
        <v>Tiền lương BP Văn phòng</v>
      </c>
      <c r="E20" s="757" t="str">
        <f ca="1">IF(ROWS($1:5)&gt;COUNT(Dong7),"",OFFSET(TH!M$1,SMALL(Dong7,ROWS($1:5)),))</f>
        <v>3341</v>
      </c>
      <c r="F20" s="759">
        <f ca="1">IF(ROWS($1:5)&gt;COUNT(Dong7),"",OFFSET(TH!K$1,SMALL(Dong7,ROWS($1:5)),))</f>
        <v>9325000</v>
      </c>
      <c r="G20" s="759">
        <f t="shared" ca="1" si="0"/>
        <v>0</v>
      </c>
      <c r="H20" s="759">
        <f t="shared" ca="1" si="0"/>
        <v>0</v>
      </c>
      <c r="I20" s="759">
        <f t="shared" ca="1" si="0"/>
        <v>0</v>
      </c>
      <c r="J20" s="759">
        <f t="shared" ca="1" si="0"/>
        <v>9325000</v>
      </c>
      <c r="K20" s="759">
        <f t="shared" ca="1" si="1"/>
        <v>0</v>
      </c>
      <c r="L20" s="759">
        <f t="shared" ca="1" si="1"/>
        <v>0</v>
      </c>
    </row>
    <row r="21" spans="1:12" ht="21.75" customHeight="1">
      <c r="A21" s="757">
        <f ca="1">IF(ROWS($1:6)&gt;COUNT(Dong7),"",OFFSET(TH!C$1,SMALL(Dong7,ROWS($1:6)),))</f>
        <v>41032</v>
      </c>
      <c r="B21" s="757" t="str">
        <f ca="1">IF(ROWS($1:6)&gt;COUNT(Dong7),"",OFFSET(TH!D$1,SMALL(Dong7,ROWS($1:6)),))</f>
        <v>C10</v>
      </c>
      <c r="C21" s="757">
        <f ca="1">IF(ROWS($1:6)&gt;COUNT(Dong7),"",OFFSET(TH!E$1,SMALL(Dong7,ROWS($1:6)),))</f>
        <v>41032</v>
      </c>
      <c r="D21" s="758" t="str">
        <f ca="1">IF(ROWS($1:6)&gt;COUNT(Dong7),"",OFFSET(TH!F$1,SMALL(Dong7,ROWS($1:6)),))</f>
        <v>Cước dịch vụ viễn thông TPHCM</v>
      </c>
      <c r="E21" s="757" t="str">
        <f ca="1">IF(ROWS($1:6)&gt;COUNT(Dong7),"",OFFSET(TH!M$1,SMALL(Dong7,ROWS($1:6)),))</f>
        <v>1111</v>
      </c>
      <c r="F21" s="759">
        <f ca="1">IF(ROWS($1:6)&gt;COUNT(Dong7),"",OFFSET(TH!K$1,SMALL(Dong7,ROWS($1:6)),))</f>
        <v>675119</v>
      </c>
      <c r="G21" s="759">
        <f t="shared" ca="1" si="0"/>
        <v>675119</v>
      </c>
      <c r="H21" s="759">
        <f t="shared" ca="1" si="0"/>
        <v>0</v>
      </c>
      <c r="I21" s="759">
        <f t="shared" ca="1" si="0"/>
        <v>0</v>
      </c>
      <c r="J21" s="759">
        <f t="shared" ca="1" si="0"/>
        <v>0</v>
      </c>
      <c r="K21" s="759">
        <f t="shared" ca="1" si="1"/>
        <v>0</v>
      </c>
      <c r="L21" s="759">
        <f t="shared" ca="1" si="1"/>
        <v>0</v>
      </c>
    </row>
    <row r="22" spans="1:12" ht="21.75" customHeight="1">
      <c r="A22" s="757">
        <f ca="1">IF(ROWS($1:7)&gt;COUNT(Dong7),"",OFFSET(TH!C$1,SMALL(Dong7,ROWS($1:7)),))</f>
        <v>41040</v>
      </c>
      <c r="B22" s="757" t="str">
        <f ca="1">IF(ROWS($1:7)&gt;COUNT(Dong7),"",OFFSET(TH!D$1,SMALL(Dong7,ROWS($1:7)),))</f>
        <v>GBN</v>
      </c>
      <c r="C22" s="757">
        <f ca="1">IF(ROWS($1:7)&gt;COUNT(Dong7),"",OFFSET(TH!E$1,SMALL(Dong7,ROWS($1:7)),))</f>
        <v>41040</v>
      </c>
      <c r="D22" s="758" t="str">
        <f ca="1">IF(ROWS($1:7)&gt;COUNT(Dong7),"",OFFSET(TH!F$1,SMALL(Dong7,ROWS($1:7)),))</f>
        <v>Phí chuyển tiền</v>
      </c>
      <c r="E22" s="757" t="str">
        <f ca="1">IF(ROWS($1:7)&gt;COUNT(Dong7),"",OFFSET(TH!M$1,SMALL(Dong7,ROWS($1:7)),))</f>
        <v>1121</v>
      </c>
      <c r="F22" s="759">
        <f ca="1">IF(ROWS($1:7)&gt;COUNT(Dong7),"",OFFSET(TH!K$1,SMALL(Dong7,ROWS($1:7)),))</f>
        <v>83799</v>
      </c>
      <c r="G22" s="759">
        <f t="shared" ca="1" si="0"/>
        <v>0</v>
      </c>
      <c r="H22" s="759">
        <f t="shared" ca="1" si="0"/>
        <v>83799</v>
      </c>
      <c r="I22" s="759">
        <f t="shared" ca="1" si="0"/>
        <v>0</v>
      </c>
      <c r="J22" s="759">
        <f t="shared" ca="1" si="0"/>
        <v>0</v>
      </c>
      <c r="K22" s="759">
        <f t="shared" ca="1" si="1"/>
        <v>0</v>
      </c>
      <c r="L22" s="759">
        <f t="shared" ca="1" si="1"/>
        <v>0</v>
      </c>
    </row>
    <row r="23" spans="1:12" ht="21.75" customHeight="1">
      <c r="A23" s="757">
        <f ca="1">IF(ROWS($1:8)&gt;COUNT(Dong7),"",OFFSET(TH!C$1,SMALL(Dong7,ROWS($1:8)),))</f>
        <v>41050</v>
      </c>
      <c r="B23" s="757" t="str">
        <f ca="1">IF(ROWS($1:8)&gt;COUNT(Dong7),"",OFFSET(TH!D$1,SMALL(Dong7,ROWS($1:8)),))</f>
        <v>GBN</v>
      </c>
      <c r="C23" s="757">
        <f ca="1">IF(ROWS($1:8)&gt;COUNT(Dong7),"",OFFSET(TH!E$1,SMALL(Dong7,ROWS($1:8)),))</f>
        <v>41050</v>
      </c>
      <c r="D23" s="758" t="str">
        <f ca="1">IF(ROWS($1:8)&gt;COUNT(Dong7),"",OFFSET(TH!F$1,SMALL(Dong7,ROWS($1:8)),))</f>
        <v>Phí chuyển tiền</v>
      </c>
      <c r="E23" s="757" t="str">
        <f ca="1">IF(ROWS($1:8)&gt;COUNT(Dong7),"",OFFSET(TH!M$1,SMALL(Dong7,ROWS($1:8)),))</f>
        <v>1121</v>
      </c>
      <c r="F23" s="759">
        <f ca="1">IF(ROWS($1:8)&gt;COUNT(Dong7),"",OFFSET(TH!K$1,SMALL(Dong7,ROWS($1:8)),))</f>
        <v>20000</v>
      </c>
      <c r="G23" s="759">
        <f t="shared" ca="1" si="0"/>
        <v>0</v>
      </c>
      <c r="H23" s="759">
        <f t="shared" ca="1" si="0"/>
        <v>20000</v>
      </c>
      <c r="I23" s="759">
        <f t="shared" ca="1" si="0"/>
        <v>0</v>
      </c>
      <c r="J23" s="759">
        <f t="shared" ca="1" si="0"/>
        <v>0</v>
      </c>
      <c r="K23" s="759">
        <f t="shared" ca="1" si="1"/>
        <v>0</v>
      </c>
      <c r="L23" s="759">
        <f t="shared" ca="1" si="1"/>
        <v>0</v>
      </c>
    </row>
    <row r="24" spans="1:12" ht="21.75" customHeight="1">
      <c r="A24" s="757">
        <f ca="1">IF(ROWS($1:9)&gt;COUNT(Dong7),"",OFFSET(TH!C$1,SMALL(Dong7,ROWS($1:9)),))</f>
        <v>41050</v>
      </c>
      <c r="B24" s="757" t="str">
        <f ca="1">IF(ROWS($1:9)&gt;COUNT(Dong7),"",OFFSET(TH!D$1,SMALL(Dong7,ROWS($1:9)),))</f>
        <v>GBN</v>
      </c>
      <c r="C24" s="757">
        <f ca="1">IF(ROWS($1:9)&gt;COUNT(Dong7),"",OFFSET(TH!E$1,SMALL(Dong7,ROWS($1:9)),))</f>
        <v>41050</v>
      </c>
      <c r="D24" s="758" t="str">
        <f ca="1">IF(ROWS($1:9)&gt;COUNT(Dong7),"",OFFSET(TH!F$1,SMALL(Dong7,ROWS($1:9)),))</f>
        <v>Phí chuyển tiền</v>
      </c>
      <c r="E24" s="757" t="str">
        <f ca="1">IF(ROWS($1:9)&gt;COUNT(Dong7),"",OFFSET(TH!M$1,SMALL(Dong7,ROWS($1:9)),))</f>
        <v>1121</v>
      </c>
      <c r="F24" s="759">
        <f ca="1">IF(ROWS($1:9)&gt;COUNT(Dong7),"",OFFSET(TH!K$1,SMALL(Dong7,ROWS($1:9)),))</f>
        <v>10000</v>
      </c>
      <c r="G24" s="759">
        <f t="shared" ca="1" si="0"/>
        <v>0</v>
      </c>
      <c r="H24" s="759">
        <f t="shared" ca="1" si="0"/>
        <v>10000</v>
      </c>
      <c r="I24" s="759">
        <f t="shared" ca="1" si="0"/>
        <v>0</v>
      </c>
      <c r="J24" s="759">
        <f t="shared" ca="1" si="0"/>
        <v>0</v>
      </c>
      <c r="K24" s="759">
        <f t="shared" ca="1" si="1"/>
        <v>0</v>
      </c>
      <c r="L24" s="759">
        <f t="shared" ca="1" si="1"/>
        <v>0</v>
      </c>
    </row>
    <row r="25" spans="1:12" ht="21.75" customHeight="1">
      <c r="A25" s="757">
        <f ca="1">IF(ROWS($1:10)&gt;COUNT(Dong7),"",OFFSET(TH!C$1,SMALL(Dong7,ROWS($1:10)),))</f>
        <v>41059</v>
      </c>
      <c r="B25" s="757" t="str">
        <f ca="1">IF(ROWS($1:10)&gt;COUNT(Dong7),"",OFFSET(TH!D$1,SMALL(Dong7,ROWS($1:10)),))</f>
        <v>GBN</v>
      </c>
      <c r="C25" s="757">
        <f ca="1">IF(ROWS($1:10)&gt;COUNT(Dong7),"",OFFSET(TH!E$1,SMALL(Dong7,ROWS($1:10)),))</f>
        <v>41059</v>
      </c>
      <c r="D25" s="758" t="str">
        <f ca="1">IF(ROWS($1:10)&gt;COUNT(Dong7),"",OFFSET(TH!F$1,SMALL(Dong7,ROWS($1:10)),))</f>
        <v>Phí chuyển tiền</v>
      </c>
      <c r="E25" s="757" t="str">
        <f ca="1">IF(ROWS($1:10)&gt;COUNT(Dong7),"",OFFSET(TH!M$1,SMALL(Dong7,ROWS($1:10)),))</f>
        <v>1121</v>
      </c>
      <c r="F25" s="759">
        <f ca="1">IF(ROWS($1:10)&gt;COUNT(Dong7),"",OFFSET(TH!K$1,SMALL(Dong7,ROWS($1:10)),))</f>
        <v>20000</v>
      </c>
      <c r="G25" s="759">
        <f t="shared" ca="1" si="0"/>
        <v>0</v>
      </c>
      <c r="H25" s="759">
        <f t="shared" ca="1" si="0"/>
        <v>20000</v>
      </c>
      <c r="I25" s="759">
        <f t="shared" ca="1" si="0"/>
        <v>0</v>
      </c>
      <c r="J25" s="759">
        <f t="shared" ca="1" si="0"/>
        <v>0</v>
      </c>
      <c r="K25" s="759">
        <f t="shared" ca="1" si="1"/>
        <v>0</v>
      </c>
      <c r="L25" s="759">
        <f t="shared" ca="1" si="1"/>
        <v>0</v>
      </c>
    </row>
    <row r="26" spans="1:12" ht="21.75" customHeight="1">
      <c r="A26" s="757">
        <f ca="1">IF(ROWS($1:11)&gt;COUNT(Dong7),"",OFFSET(TH!C$1,SMALL(Dong7,ROWS($1:11)),))</f>
        <v>41059</v>
      </c>
      <c r="B26" s="757" t="str">
        <f ca="1">IF(ROWS($1:11)&gt;COUNT(Dong7),"",OFFSET(TH!D$1,SMALL(Dong7,ROWS($1:11)),))</f>
        <v>GBN</v>
      </c>
      <c r="C26" s="757">
        <f ca="1">IF(ROWS($1:11)&gt;COUNT(Dong7),"",OFFSET(TH!E$1,SMALL(Dong7,ROWS($1:11)),))</f>
        <v>41059</v>
      </c>
      <c r="D26" s="758" t="str">
        <f ca="1">IF(ROWS($1:11)&gt;COUNT(Dong7),"",OFFSET(TH!F$1,SMALL(Dong7,ROWS($1:11)),))</f>
        <v>Phí chuyển tiền</v>
      </c>
      <c r="E26" s="757" t="str">
        <f ca="1">IF(ROWS($1:11)&gt;COUNT(Dong7),"",OFFSET(TH!M$1,SMALL(Dong7,ROWS($1:11)),))</f>
        <v>1121</v>
      </c>
      <c r="F26" s="759">
        <f ca="1">IF(ROWS($1:11)&gt;COUNT(Dong7),"",OFFSET(TH!K$1,SMALL(Dong7,ROWS($1:11)),))</f>
        <v>40000</v>
      </c>
      <c r="G26" s="759">
        <f t="shared" ca="1" si="0"/>
        <v>0</v>
      </c>
      <c r="H26" s="759">
        <f t="shared" ca="1" si="0"/>
        <v>40000</v>
      </c>
      <c r="I26" s="759">
        <f t="shared" ca="1" si="0"/>
        <v>0</v>
      </c>
      <c r="J26" s="759">
        <f t="shared" ca="1" si="0"/>
        <v>0</v>
      </c>
      <c r="K26" s="759">
        <f t="shared" ca="1" si="1"/>
        <v>0</v>
      </c>
      <c r="L26" s="759">
        <f t="shared" ca="1" si="1"/>
        <v>0</v>
      </c>
    </row>
    <row r="27" spans="1:12" ht="21.75" customHeight="1">
      <c r="A27" s="757">
        <f ca="1">IF(ROWS($1:12)&gt;COUNT(Dong7),"",OFFSET(TH!C$1,SMALL(Dong7,ROWS($1:12)),))</f>
        <v>41059</v>
      </c>
      <c r="B27" s="757" t="str">
        <f ca="1">IF(ROWS($1:12)&gt;COUNT(Dong7),"",OFFSET(TH!D$1,SMALL(Dong7,ROWS($1:12)),))</f>
        <v>GBN</v>
      </c>
      <c r="C27" s="757">
        <f ca="1">IF(ROWS($1:12)&gt;COUNT(Dong7),"",OFFSET(TH!E$1,SMALL(Dong7,ROWS($1:12)),))</f>
        <v>41059</v>
      </c>
      <c r="D27" s="758" t="str">
        <f ca="1">IF(ROWS($1:12)&gt;COUNT(Dong7),"",OFFSET(TH!F$1,SMALL(Dong7,ROWS($1:12)),))</f>
        <v>Phí kiểm đếm</v>
      </c>
      <c r="E27" s="757" t="str">
        <f ca="1">IF(ROWS($1:12)&gt;COUNT(Dong7),"",OFFSET(TH!M$1,SMALL(Dong7,ROWS($1:12)),))</f>
        <v>1121</v>
      </c>
      <c r="F27" s="759">
        <f ca="1">IF(ROWS($1:12)&gt;COUNT(Dong7),"",OFFSET(TH!K$1,SMALL(Dong7,ROWS($1:12)),))</f>
        <v>22830</v>
      </c>
      <c r="G27" s="759">
        <f t="shared" ca="1" si="0"/>
        <v>0</v>
      </c>
      <c r="H27" s="759">
        <f t="shared" ca="1" si="0"/>
        <v>22830</v>
      </c>
      <c r="I27" s="759">
        <f t="shared" ca="1" si="0"/>
        <v>0</v>
      </c>
      <c r="J27" s="759">
        <f t="shared" ca="1" si="0"/>
        <v>0</v>
      </c>
      <c r="K27" s="759">
        <f t="shared" ca="1" si="1"/>
        <v>0</v>
      </c>
      <c r="L27" s="759">
        <f t="shared" ca="1" si="1"/>
        <v>0</v>
      </c>
    </row>
    <row r="28" spans="1:12" ht="21.75" customHeight="1">
      <c r="A28" s="757">
        <f ca="1">IF(ROWS($1:13)&gt;COUNT(Dong7),"",OFFSET(TH!C$1,SMALL(Dong7,ROWS($1:13)),))</f>
        <v>41060</v>
      </c>
      <c r="B28" s="757" t="str">
        <f ca="1">IF(ROWS($1:13)&gt;COUNT(Dong7),"",OFFSET(TH!D$1,SMALL(Dong7,ROWS($1:13)),))</f>
        <v>CTGS</v>
      </c>
      <c r="C28" s="757">
        <f ca="1">IF(ROWS($1:13)&gt;COUNT(Dong7),"",OFFSET(TH!E$1,SMALL(Dong7,ROWS($1:13)),))</f>
        <v>41060</v>
      </c>
      <c r="D28" s="758" t="str">
        <f ca="1">IF(ROWS($1:13)&gt;COUNT(Dong7),"",OFFSET(TH!F$1,SMALL(Dong7,ROWS($1:13)),))</f>
        <v>Tiền lương BP Văn phòng</v>
      </c>
      <c r="E28" s="757" t="str">
        <f ca="1">IF(ROWS($1:13)&gt;COUNT(Dong7),"",OFFSET(TH!M$1,SMALL(Dong7,ROWS($1:13)),))</f>
        <v>3341</v>
      </c>
      <c r="F28" s="759">
        <f ca="1">IF(ROWS($1:13)&gt;COUNT(Dong7),"",OFFSET(TH!K$1,SMALL(Dong7,ROWS($1:13)),))</f>
        <v>9325000</v>
      </c>
      <c r="G28" s="759">
        <f t="shared" ca="1" si="0"/>
        <v>0</v>
      </c>
      <c r="H28" s="759">
        <f t="shared" ca="1" si="0"/>
        <v>0</v>
      </c>
      <c r="I28" s="759">
        <f t="shared" ca="1" si="0"/>
        <v>0</v>
      </c>
      <c r="J28" s="759">
        <f t="shared" ca="1" si="0"/>
        <v>9325000</v>
      </c>
      <c r="K28" s="759">
        <f t="shared" ca="1" si="1"/>
        <v>0</v>
      </c>
      <c r="L28" s="759">
        <f t="shared" ca="1" si="1"/>
        <v>0</v>
      </c>
    </row>
    <row r="29" spans="1:12" ht="21.75" customHeight="1">
      <c r="A29" s="757">
        <f ca="1">IF(ROWS($1:14)&gt;COUNT(Dong7),"",OFFSET(TH!C$1,SMALL(Dong7,ROWS($1:14)),))</f>
        <v>41065</v>
      </c>
      <c r="B29" s="757" t="str">
        <f ca="1">IF(ROWS($1:14)&gt;COUNT(Dong7),"",OFFSET(TH!D$1,SMALL(Dong7,ROWS($1:14)),))</f>
        <v>C35</v>
      </c>
      <c r="C29" s="757">
        <f ca="1">IF(ROWS($1:14)&gt;COUNT(Dong7),"",OFFSET(TH!E$1,SMALL(Dong7,ROWS($1:14)),))</f>
        <v>41065</v>
      </c>
      <c r="D29" s="758" t="str">
        <f ca="1">IF(ROWS($1:14)&gt;COUNT(Dong7),"",OFFSET(TH!F$1,SMALL(Dong7,ROWS($1:14)),))</f>
        <v>Cước dịch vụ viễn thông TPHCM</v>
      </c>
      <c r="E29" s="757" t="str">
        <f ca="1">IF(ROWS($1:14)&gt;COUNT(Dong7),"",OFFSET(TH!M$1,SMALL(Dong7,ROWS($1:14)),))</f>
        <v>1111</v>
      </c>
      <c r="F29" s="759">
        <f ca="1">IF(ROWS($1:14)&gt;COUNT(Dong7),"",OFFSET(TH!K$1,SMALL(Dong7,ROWS($1:14)),))</f>
        <v>697704</v>
      </c>
      <c r="G29" s="759">
        <f t="shared" ca="1" si="0"/>
        <v>697704</v>
      </c>
      <c r="H29" s="759">
        <f t="shared" ca="1" si="0"/>
        <v>0</v>
      </c>
      <c r="I29" s="759">
        <f t="shared" ca="1" si="0"/>
        <v>0</v>
      </c>
      <c r="J29" s="759">
        <f t="shared" ca="1" si="0"/>
        <v>0</v>
      </c>
      <c r="K29" s="759">
        <f t="shared" ca="1" si="1"/>
        <v>0</v>
      </c>
      <c r="L29" s="759">
        <f t="shared" ca="1" si="1"/>
        <v>0</v>
      </c>
    </row>
    <row r="30" spans="1:12" ht="21.75" customHeight="1">
      <c r="A30" s="757">
        <f ca="1">IF(ROWS($1:15)&gt;COUNT(Dong7),"",OFFSET(TH!C$1,SMALL(Dong7,ROWS($1:15)),))</f>
        <v>41068</v>
      </c>
      <c r="B30" s="757" t="str">
        <f ca="1">IF(ROWS($1:15)&gt;COUNT(Dong7),"",OFFSET(TH!D$1,SMALL(Dong7,ROWS($1:15)),))</f>
        <v>GBN</v>
      </c>
      <c r="C30" s="757">
        <f ca="1">IF(ROWS($1:15)&gt;COUNT(Dong7),"",OFFSET(TH!E$1,SMALL(Dong7,ROWS($1:15)),))</f>
        <v>41068</v>
      </c>
      <c r="D30" s="758" t="str">
        <f ca="1">IF(ROWS($1:15)&gt;COUNT(Dong7),"",OFFSET(TH!F$1,SMALL(Dong7,ROWS($1:15)),))</f>
        <v>Phí chuyển tiền</v>
      </c>
      <c r="E30" s="757" t="str">
        <f ca="1">IF(ROWS($1:15)&gt;COUNT(Dong7),"",OFFSET(TH!M$1,SMALL(Dong7,ROWS($1:15)),))</f>
        <v>1121</v>
      </c>
      <c r="F30" s="759">
        <f ca="1">IF(ROWS($1:15)&gt;COUNT(Dong7),"",OFFSET(TH!K$1,SMALL(Dong7,ROWS($1:15)),))</f>
        <v>20000</v>
      </c>
      <c r="G30" s="759">
        <f t="shared" ca="1" si="0"/>
        <v>0</v>
      </c>
      <c r="H30" s="759">
        <f t="shared" ca="1" si="0"/>
        <v>20000</v>
      </c>
      <c r="I30" s="759">
        <f t="shared" ca="1" si="0"/>
        <v>0</v>
      </c>
      <c r="J30" s="759">
        <f t="shared" ca="1" si="0"/>
        <v>0</v>
      </c>
      <c r="K30" s="759">
        <f t="shared" ca="1" si="1"/>
        <v>0</v>
      </c>
      <c r="L30" s="759">
        <f t="shared" ca="1" si="1"/>
        <v>0</v>
      </c>
    </row>
    <row r="31" spans="1:12" ht="21.75" customHeight="1">
      <c r="A31" s="757"/>
      <c r="B31" s="760"/>
      <c r="C31" s="757"/>
      <c r="D31" s="761"/>
      <c r="E31" s="762"/>
      <c r="F31" s="763"/>
      <c r="G31" s="763"/>
      <c r="H31" s="763"/>
      <c r="I31" s="763"/>
      <c r="J31" s="763"/>
      <c r="K31" s="763"/>
      <c r="L31" s="763"/>
    </row>
    <row r="32" spans="1:12" ht="21.75" customHeight="1">
      <c r="A32" s="757"/>
      <c r="B32" s="760"/>
      <c r="C32" s="757"/>
      <c r="D32" s="755" t="s">
        <v>135</v>
      </c>
      <c r="E32" s="754" t="s">
        <v>19</v>
      </c>
      <c r="F32" s="756">
        <f ca="1">SUM(F15:F31)</f>
        <v>22128172</v>
      </c>
      <c r="G32" s="756">
        <f t="shared" ref="G32:L32" ca="1" si="2">SUM(G15:G31)</f>
        <v>3231543</v>
      </c>
      <c r="H32" s="756">
        <f t="shared" ca="1" si="2"/>
        <v>246629</v>
      </c>
      <c r="I32" s="756">
        <f t="shared" ca="1" si="2"/>
        <v>0</v>
      </c>
      <c r="J32" s="756">
        <f t="shared" ca="1" si="2"/>
        <v>18650000</v>
      </c>
      <c r="K32" s="756">
        <f t="shared" ca="1" si="2"/>
        <v>0</v>
      </c>
      <c r="L32" s="756">
        <f t="shared" ca="1" si="2"/>
        <v>0</v>
      </c>
    </row>
    <row r="33" spans="1:12" ht="21.75" customHeight="1">
      <c r="A33" s="764"/>
      <c r="B33" s="762"/>
      <c r="C33" s="764"/>
      <c r="D33" s="765" t="s">
        <v>535</v>
      </c>
      <c r="E33" s="760"/>
      <c r="F33" s="766">
        <f ca="1">SUM(G33:L33)</f>
        <v>22128172</v>
      </c>
      <c r="G33" s="766">
        <f t="shared" ref="G33:L33" ca="1" si="3">G32</f>
        <v>3231543</v>
      </c>
      <c r="H33" s="766">
        <f t="shared" ca="1" si="3"/>
        <v>246629</v>
      </c>
      <c r="I33" s="766">
        <f t="shared" ca="1" si="3"/>
        <v>0</v>
      </c>
      <c r="J33" s="766">
        <f t="shared" ca="1" si="3"/>
        <v>18650000</v>
      </c>
      <c r="K33" s="766">
        <f t="shared" ca="1" si="3"/>
        <v>0</v>
      </c>
      <c r="L33" s="766">
        <f t="shared" ca="1" si="3"/>
        <v>0</v>
      </c>
    </row>
    <row r="34" spans="1:12" ht="21.75" customHeight="1">
      <c r="A34" s="767"/>
      <c r="B34" s="767"/>
      <c r="C34" s="767"/>
      <c r="D34" s="768" t="s">
        <v>10</v>
      </c>
      <c r="E34" s="767" t="s">
        <v>19</v>
      </c>
      <c r="F34" s="769">
        <f t="shared" ref="F34:L34" ca="1" si="4">F15+F32-F33</f>
        <v>0</v>
      </c>
      <c r="G34" s="769">
        <f t="shared" ca="1" si="4"/>
        <v>0</v>
      </c>
      <c r="H34" s="769">
        <f t="shared" ca="1" si="4"/>
        <v>0</v>
      </c>
      <c r="I34" s="769">
        <f t="shared" ca="1" si="4"/>
        <v>0</v>
      </c>
      <c r="J34" s="769">
        <f t="shared" ca="1" si="4"/>
        <v>0</v>
      </c>
      <c r="K34" s="769">
        <f t="shared" ca="1" si="4"/>
        <v>0</v>
      </c>
      <c r="L34" s="769">
        <f t="shared" ca="1" si="4"/>
        <v>0</v>
      </c>
    </row>
    <row r="36" spans="1:12">
      <c r="B36" s="770"/>
      <c r="C36" s="750" t="s">
        <v>528</v>
      </c>
    </row>
    <row r="37" spans="1:12">
      <c r="C37" s="750" t="str">
        <f ca="1">"- Ngày mở sổ: "&amp;"01/"&amp;MONTH(A16)&amp;"/"&amp;YEAR(A16)</f>
        <v>- Ngày mở sổ: 01/4/2012</v>
      </c>
    </row>
    <row r="38" spans="1:12">
      <c r="E38" s="749"/>
      <c r="F38" s="749"/>
      <c r="G38" s="749"/>
      <c r="H38" s="749"/>
      <c r="I38" s="749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073"/>
      <c r="L38" s="1073"/>
    </row>
    <row r="39" spans="1:12">
      <c r="B39" s="749"/>
      <c r="C39" s="746" t="s">
        <v>11</v>
      </c>
      <c r="D39" s="749"/>
      <c r="E39" s="749"/>
      <c r="F39" s="749"/>
      <c r="G39" s="749"/>
      <c r="H39" s="749"/>
      <c r="I39" s="749"/>
      <c r="J39" s="1073" t="s">
        <v>12</v>
      </c>
      <c r="K39" s="1073"/>
      <c r="L39" s="1073"/>
    </row>
    <row r="40" spans="1:12">
      <c r="B40" s="749"/>
      <c r="C40" s="746" t="s">
        <v>13</v>
      </c>
      <c r="D40" s="749"/>
      <c r="E40" s="749"/>
      <c r="F40" s="749"/>
      <c r="G40" s="749"/>
      <c r="H40" s="749"/>
      <c r="I40" s="749"/>
      <c r="J40" s="1115" t="s">
        <v>13</v>
      </c>
      <c r="K40" s="1115"/>
      <c r="L40" s="1115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H36" sqref="H36"/>
    </sheetView>
  </sheetViews>
  <sheetFormatPr defaultRowHeight="15"/>
  <cols>
    <col min="1" max="2" width="8.85546875" style="844" customWidth="1"/>
    <col min="3" max="3" width="8.5703125" style="844" customWidth="1"/>
    <col min="4" max="4" width="51.42578125" style="844" customWidth="1"/>
    <col min="5" max="5" width="8" style="844" customWidth="1"/>
    <col min="6" max="6" width="12.28515625" style="844" bestFit="1" customWidth="1"/>
    <col min="7" max="7" width="10.140625" style="844" customWidth="1"/>
    <col min="8" max="8" width="10.7109375" style="844" customWidth="1"/>
    <col min="9" max="9" width="11.42578125" style="844" customWidth="1"/>
    <col min="10" max="10" width="11.5703125" style="844" customWidth="1"/>
    <col min="11" max="11" width="11.42578125" style="844" customWidth="1"/>
    <col min="12" max="12" width="9.42578125" style="844" customWidth="1"/>
    <col min="13" max="13" width="6.7109375" style="844" customWidth="1"/>
    <col min="14" max="16384" width="9.140625" style="844"/>
  </cols>
  <sheetData>
    <row r="2" spans="1:15">
      <c r="A2" s="745" t="str">
        <f>'632'!A2</f>
        <v>Đơn vị: CÔNG TY TNHH SX TM KIM DUNG PHÁT</v>
      </c>
      <c r="F2" s="843"/>
      <c r="G2" s="843"/>
      <c r="H2" s="843"/>
      <c r="I2" s="843" t="s">
        <v>515</v>
      </c>
      <c r="J2" s="771"/>
      <c r="K2" s="771"/>
      <c r="L2" s="771"/>
    </row>
    <row r="3" spans="1:15" ht="15" customHeight="1">
      <c r="A3" s="776" t="str">
        <f>'632'!A3</f>
        <v>Địa chỉ: 1A227/1 Ấp 1, Phạm Văn Hai, Bình Chánh, TPHCM</v>
      </c>
      <c r="I3" s="844" t="s">
        <v>162</v>
      </c>
      <c r="J3" s="773"/>
      <c r="K3" s="773"/>
      <c r="L3" s="749"/>
    </row>
    <row r="4" spans="1:15">
      <c r="I4" s="844" t="s">
        <v>163</v>
      </c>
      <c r="J4" s="749"/>
      <c r="K4" s="749"/>
      <c r="L4" s="749"/>
    </row>
    <row r="5" spans="1:15" ht="19.5" customHeight="1">
      <c r="A5" s="1116" t="s">
        <v>516</v>
      </c>
      <c r="B5" s="1116"/>
      <c r="C5" s="1116"/>
      <c r="D5" s="1116"/>
      <c r="E5" s="1116"/>
      <c r="F5" s="1116"/>
      <c r="G5" s="1116"/>
      <c r="H5" s="1116"/>
      <c r="I5" s="1116"/>
      <c r="J5" s="1116"/>
      <c r="K5" s="1116"/>
      <c r="L5" s="1116"/>
      <c r="M5" s="748" t="s">
        <v>286</v>
      </c>
      <c r="N5" s="661">
        <f>IF(N13="Quý I",1,IF(N13="Quý II",4,IF(N13="Quý III",7,IF(N13="Quý IV",10,""))))</f>
        <v>7</v>
      </c>
      <c r="O5" s="661">
        <f>IF(N13="Quý I",3,IF(N13="Quý II",6,IF(N13="Quý III",9,IF(N13="Quý IV",12,""))))</f>
        <v>9</v>
      </c>
    </row>
    <row r="6" spans="1:15">
      <c r="A6" s="1115" t="s">
        <v>517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</row>
    <row r="7" spans="1:15">
      <c r="B7" s="749"/>
      <c r="C7" s="749"/>
      <c r="D7" s="749"/>
      <c r="E7" s="750" t="s">
        <v>546</v>
      </c>
      <c r="G7" s="749"/>
      <c r="H7" s="749"/>
      <c r="I7" s="749"/>
      <c r="J7" s="749"/>
      <c r="K7" s="749"/>
      <c r="L7" s="749"/>
      <c r="M7" s="777"/>
    </row>
    <row r="8" spans="1:15">
      <c r="B8" s="749"/>
      <c r="C8" s="749"/>
      <c r="D8" s="749"/>
      <c r="E8" s="750" t="s">
        <v>519</v>
      </c>
      <c r="G8" s="749"/>
      <c r="H8" s="749"/>
      <c r="I8" s="749"/>
      <c r="J8" s="749"/>
      <c r="K8" s="749"/>
      <c r="L8" s="749"/>
    </row>
    <row r="9" spans="1:15">
      <c r="B9" s="751"/>
      <c r="C9" s="751"/>
      <c r="D9" s="751"/>
      <c r="E9" s="750" t="s">
        <v>520</v>
      </c>
      <c r="G9" s="751"/>
      <c r="H9" s="751"/>
      <c r="I9" s="751"/>
      <c r="J9" s="751"/>
      <c r="K9" s="751"/>
      <c r="L9" s="751"/>
    </row>
    <row r="10" spans="1:15" ht="9" customHeight="1"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</row>
    <row r="11" spans="1:15" ht="15.75" customHeight="1">
      <c r="A11" s="1117" t="s">
        <v>20</v>
      </c>
      <c r="B11" s="1118" t="s">
        <v>1</v>
      </c>
      <c r="C11" s="1118"/>
      <c r="D11" s="1117" t="s">
        <v>0</v>
      </c>
      <c r="E11" s="1117" t="s">
        <v>235</v>
      </c>
      <c r="F11" s="1118" t="s">
        <v>545</v>
      </c>
      <c r="G11" s="1118"/>
      <c r="H11" s="1118"/>
      <c r="I11" s="1118"/>
      <c r="J11" s="1118"/>
      <c r="K11" s="1118"/>
      <c r="L11" s="1118"/>
    </row>
    <row r="12" spans="1:15" ht="15.75" customHeight="1" thickBot="1">
      <c r="A12" s="1117"/>
      <c r="B12" s="1119" t="s">
        <v>15</v>
      </c>
      <c r="C12" s="1119" t="s">
        <v>32</v>
      </c>
      <c r="D12" s="1117"/>
      <c r="E12" s="1117"/>
      <c r="F12" s="1119" t="s">
        <v>522</v>
      </c>
      <c r="G12" s="1119" t="s">
        <v>523</v>
      </c>
      <c r="H12" s="1119"/>
      <c r="I12" s="1119"/>
      <c r="J12" s="1119"/>
      <c r="K12" s="1119"/>
      <c r="L12" s="1119"/>
    </row>
    <row r="13" spans="1:15" ht="29.25" customHeight="1" thickBot="1">
      <c r="A13" s="1117"/>
      <c r="B13" s="1119"/>
      <c r="C13" s="1119"/>
      <c r="D13" s="1117"/>
      <c r="E13" s="1117"/>
      <c r="F13" s="1119"/>
      <c r="G13" s="772" t="s">
        <v>48</v>
      </c>
      <c r="H13" s="772" t="s">
        <v>24</v>
      </c>
      <c r="I13" s="772"/>
      <c r="J13" s="772"/>
      <c r="K13" s="772"/>
      <c r="L13" s="772"/>
      <c r="N13" s="775" t="s">
        <v>548</v>
      </c>
    </row>
    <row r="14" spans="1:15">
      <c r="A14" s="845" t="s">
        <v>2</v>
      </c>
      <c r="B14" s="845" t="s">
        <v>3</v>
      </c>
      <c r="C14" s="845" t="s">
        <v>4</v>
      </c>
      <c r="D14" s="845" t="s">
        <v>5</v>
      </c>
      <c r="E14" s="845" t="s">
        <v>6</v>
      </c>
      <c r="F14" s="845">
        <v>1</v>
      </c>
      <c r="G14" s="845">
        <v>2</v>
      </c>
      <c r="H14" s="845">
        <v>3</v>
      </c>
      <c r="I14" s="845">
        <v>4</v>
      </c>
      <c r="J14" s="845">
        <v>5</v>
      </c>
      <c r="K14" s="845">
        <v>6</v>
      </c>
      <c r="L14" s="845">
        <v>7</v>
      </c>
    </row>
    <row r="15" spans="1:15" ht="21.75" customHeight="1">
      <c r="A15" s="754"/>
      <c r="B15" s="754"/>
      <c r="C15" s="754"/>
      <c r="D15" s="755" t="s">
        <v>7</v>
      </c>
      <c r="E15" s="754"/>
      <c r="F15" s="756"/>
      <c r="G15" s="756"/>
      <c r="H15" s="756"/>
      <c r="I15" s="756"/>
      <c r="J15" s="756"/>
      <c r="K15" s="756"/>
      <c r="L15" s="756"/>
    </row>
    <row r="16" spans="1:15" ht="21.75" customHeight="1">
      <c r="A16" s="757" t="str">
        <f ca="1">IF(ROWS($1:1)&gt;COUNT(Dong13),"",OFFSET(TH!C$1,SMALL(Dong13,ROWS($1:1)),))</f>
        <v/>
      </c>
      <c r="B16" s="757" t="str">
        <f ca="1">IF(ROWS($1:1)&gt;COUNT(Dong13),"",OFFSET(TH!D$1,SMALL(Dong13,ROWS($1:1)),))</f>
        <v/>
      </c>
      <c r="C16" s="757" t="str">
        <f ca="1">IF(ROWS($1:1)&gt;COUNT(Dong13),"",OFFSET(TH!E$1,SMALL(Dong13,ROWS($1:1)),))</f>
        <v/>
      </c>
      <c r="D16" s="758" t="str">
        <f ca="1">IF(ROWS($1:1)&gt;COUNT(Dong13),"",OFFSET(TH!F$1,SMALL(Dong13,ROWS($1:1)),))</f>
        <v/>
      </c>
      <c r="E16" s="757" t="str">
        <f ca="1">IF(ROWS($1:1)&gt;COUNT(Dong13),"",OFFSET(TH!M$1,SMALL(Dong13,ROWS($1:1)),))</f>
        <v/>
      </c>
      <c r="F16" s="855" t="str">
        <f ca="1">IF(ROWS($1:1)&gt;COUNT(Dong13),"",OFFSET(TH!K$1,SMALL(Dong13,ROWS($1:1)),))</f>
        <v/>
      </c>
      <c r="G16" s="759">
        <f t="shared" ref="G16:J25" ca="1" si="0">IF($E16=G$13,$F16,0)</f>
        <v>0</v>
      </c>
      <c r="H16" s="759">
        <f t="shared" ca="1" si="0"/>
        <v>0</v>
      </c>
      <c r="I16" s="759" t="str">
        <f t="shared" ca="1" si="0"/>
        <v/>
      </c>
      <c r="J16" s="759" t="str">
        <f t="shared" ca="1" si="0"/>
        <v/>
      </c>
      <c r="K16" s="759" t="str">
        <f ca="1">IF(LEFT($E16,3)=K$13,$F16,0)</f>
        <v/>
      </c>
      <c r="L16" s="759" t="str">
        <f ca="1">IF(LEFT($E16,3)=L$13,$F16,0)</f>
        <v/>
      </c>
    </row>
    <row r="17" spans="1:12" ht="21.75" customHeight="1">
      <c r="A17" s="757" t="str">
        <f ca="1">IF(ROWS($1:2)&gt;COUNT(Dong13),"",OFFSET(TH!C$1,SMALL(Dong13,ROWS($1:2)),))</f>
        <v/>
      </c>
      <c r="B17" s="757" t="str">
        <f ca="1">IF(ROWS($1:2)&gt;COUNT(Dong13),"",OFFSET(TH!D$1,SMALL(Dong13,ROWS($1:2)),))</f>
        <v/>
      </c>
      <c r="C17" s="757" t="str">
        <f ca="1">IF(ROWS($1:2)&gt;COUNT(Dong13),"",OFFSET(TH!E$1,SMALL(Dong13,ROWS($1:2)),))</f>
        <v/>
      </c>
      <c r="D17" s="758" t="str">
        <f ca="1">IF(ROWS($1:2)&gt;COUNT(Dong13),"",OFFSET(TH!F$1,SMALL(Dong13,ROWS($1:2)),))</f>
        <v/>
      </c>
      <c r="E17" s="757" t="str">
        <f ca="1">IF(ROWS($1:2)&gt;COUNT(Dong13),"",OFFSET(TH!M$1,SMALL(Dong13,ROWS($1:2)),))</f>
        <v/>
      </c>
      <c r="F17" s="855" t="str">
        <f ca="1">IF(ROWS($1:2)&gt;COUNT(Dong13),"",OFFSET(TH!K$1,SMALL(Dong13,ROWS($1:2)),))</f>
        <v/>
      </c>
      <c r="G17" s="759">
        <f t="shared" ca="1" si="0"/>
        <v>0</v>
      </c>
      <c r="H17" s="759">
        <f t="shared" ca="1" si="0"/>
        <v>0</v>
      </c>
      <c r="I17" s="759" t="str">
        <f t="shared" ca="1" si="0"/>
        <v/>
      </c>
      <c r="J17" s="759" t="str">
        <f t="shared" ca="1" si="0"/>
        <v/>
      </c>
      <c r="K17" s="759" t="str">
        <f t="shared" ref="K17:L25" ca="1" si="1">IF(LEFT($E17,3)=K$13,$F17,0)</f>
        <v/>
      </c>
      <c r="L17" s="759" t="str">
        <f t="shared" ca="1" si="1"/>
        <v/>
      </c>
    </row>
    <row r="18" spans="1:12" ht="21.75" customHeight="1">
      <c r="A18" s="757" t="str">
        <f ca="1">IF(ROWS($1:3)&gt;COUNT(Dong13),"",OFFSET(TH!C$1,SMALL(Dong13,ROWS($1:3)),))</f>
        <v/>
      </c>
      <c r="B18" s="757" t="str">
        <f ca="1">IF(ROWS($1:3)&gt;COUNT(Dong13),"",OFFSET(TH!D$1,SMALL(Dong13,ROWS($1:3)),))</f>
        <v/>
      </c>
      <c r="C18" s="757" t="str">
        <f ca="1">IF(ROWS($1:3)&gt;COUNT(Dong13),"",OFFSET(TH!E$1,SMALL(Dong13,ROWS($1:3)),))</f>
        <v/>
      </c>
      <c r="D18" s="758" t="str">
        <f ca="1">IF(ROWS($1:3)&gt;COUNT(Dong13),"",OFFSET(TH!F$1,SMALL(Dong13,ROWS($1:3)),))</f>
        <v/>
      </c>
      <c r="E18" s="757" t="str">
        <f ca="1">IF(ROWS($1:3)&gt;COUNT(Dong13),"",OFFSET(TH!M$1,SMALL(Dong13,ROWS($1:3)),))</f>
        <v/>
      </c>
      <c r="F18" s="855" t="str">
        <f ca="1">IF(ROWS($1:3)&gt;COUNT(Dong13),"",OFFSET(TH!K$1,SMALL(Dong13,ROWS($1:3)),))</f>
        <v/>
      </c>
      <c r="G18" s="759">
        <f t="shared" ca="1" si="0"/>
        <v>0</v>
      </c>
      <c r="H18" s="759">
        <f t="shared" ca="1" si="0"/>
        <v>0</v>
      </c>
      <c r="I18" s="759" t="str">
        <f t="shared" ca="1" si="0"/>
        <v/>
      </c>
      <c r="J18" s="759" t="str">
        <f t="shared" ca="1" si="0"/>
        <v/>
      </c>
      <c r="K18" s="759" t="str">
        <f t="shared" ca="1" si="1"/>
        <v/>
      </c>
      <c r="L18" s="759" t="str">
        <f t="shared" ca="1" si="1"/>
        <v/>
      </c>
    </row>
    <row r="19" spans="1:12" ht="21.75" customHeight="1">
      <c r="A19" s="757" t="str">
        <f ca="1">IF(ROWS($1:4)&gt;COUNT(Dong13),"",OFFSET(TH!C$1,SMALL(Dong13,ROWS($1:4)),))</f>
        <v/>
      </c>
      <c r="B19" s="757" t="str">
        <f ca="1">IF(ROWS($1:4)&gt;COUNT(Dong13),"",OFFSET(TH!D$1,SMALL(Dong13,ROWS($1:4)),))</f>
        <v/>
      </c>
      <c r="C19" s="757" t="str">
        <f ca="1">IF(ROWS($1:4)&gt;COUNT(Dong13),"",OFFSET(TH!E$1,SMALL(Dong13,ROWS($1:4)),))</f>
        <v/>
      </c>
      <c r="D19" s="758" t="str">
        <f ca="1">IF(ROWS($1:4)&gt;COUNT(Dong13),"",OFFSET(TH!F$1,SMALL(Dong13,ROWS($1:4)),))</f>
        <v/>
      </c>
      <c r="E19" s="757" t="str">
        <f ca="1">IF(ROWS($1:4)&gt;COUNT(Dong13),"",OFFSET(TH!M$1,SMALL(Dong13,ROWS($1:4)),))</f>
        <v/>
      </c>
      <c r="F19" s="855" t="str">
        <f ca="1">IF(ROWS($1:4)&gt;COUNT(Dong13),"",OFFSET(TH!K$1,SMALL(Dong13,ROWS($1:4)),))</f>
        <v/>
      </c>
      <c r="G19" s="759">
        <f t="shared" ca="1" si="0"/>
        <v>0</v>
      </c>
      <c r="H19" s="759">
        <f t="shared" ca="1" si="0"/>
        <v>0</v>
      </c>
      <c r="I19" s="759" t="str">
        <f t="shared" ca="1" si="0"/>
        <v/>
      </c>
      <c r="J19" s="759" t="str">
        <f t="shared" ca="1" si="0"/>
        <v/>
      </c>
      <c r="K19" s="759" t="str">
        <f t="shared" ca="1" si="1"/>
        <v/>
      </c>
      <c r="L19" s="759" t="str">
        <f t="shared" ca="1" si="1"/>
        <v/>
      </c>
    </row>
    <row r="20" spans="1:12" ht="21.75" customHeight="1">
      <c r="A20" s="757" t="str">
        <f ca="1">IF(ROWS($1:5)&gt;COUNT(Dong13),"",OFFSET(TH!C$1,SMALL(Dong13,ROWS($1:5)),))</f>
        <v/>
      </c>
      <c r="B20" s="757" t="str">
        <f ca="1">IF(ROWS($1:5)&gt;COUNT(Dong13),"",OFFSET(TH!D$1,SMALL(Dong13,ROWS($1:5)),))</f>
        <v/>
      </c>
      <c r="C20" s="757" t="str">
        <f ca="1">IF(ROWS($1:5)&gt;COUNT(Dong13),"",OFFSET(TH!E$1,SMALL(Dong13,ROWS($1:5)),))</f>
        <v/>
      </c>
      <c r="D20" s="758" t="str">
        <f ca="1">IF(ROWS($1:5)&gt;COUNT(Dong13),"",OFFSET(TH!F$1,SMALL(Dong13,ROWS($1:5)),))</f>
        <v/>
      </c>
      <c r="E20" s="757" t="str">
        <f ca="1">IF(ROWS($1:5)&gt;COUNT(Dong13),"",OFFSET(TH!M$1,SMALL(Dong13,ROWS($1:5)),))</f>
        <v/>
      </c>
      <c r="F20" s="855" t="str">
        <f ca="1">IF(ROWS($1:5)&gt;COUNT(Dong13),"",OFFSET(TH!K$1,SMALL(Dong13,ROWS($1:5)),))</f>
        <v/>
      </c>
      <c r="G20" s="759">
        <f t="shared" ca="1" si="0"/>
        <v>0</v>
      </c>
      <c r="H20" s="759">
        <f t="shared" ca="1" si="0"/>
        <v>0</v>
      </c>
      <c r="I20" s="759" t="str">
        <f t="shared" ca="1" si="0"/>
        <v/>
      </c>
      <c r="J20" s="759" t="str">
        <f t="shared" ca="1" si="0"/>
        <v/>
      </c>
      <c r="K20" s="759" t="str">
        <f t="shared" ca="1" si="1"/>
        <v/>
      </c>
      <c r="L20" s="759" t="str">
        <f t="shared" ca="1" si="1"/>
        <v/>
      </c>
    </row>
    <row r="21" spans="1:12" ht="21.75" customHeight="1">
      <c r="A21" s="757" t="str">
        <f ca="1">IF(ROWS($1:6)&gt;COUNT(Dong13),"",OFFSET(TH!C$1,SMALL(Dong13,ROWS($1:6)),))</f>
        <v/>
      </c>
      <c r="B21" s="757" t="str">
        <f ca="1">IF(ROWS($1:6)&gt;COUNT(Dong13),"",OFFSET(TH!D$1,SMALL(Dong13,ROWS($1:6)),))</f>
        <v/>
      </c>
      <c r="C21" s="757" t="str">
        <f ca="1">IF(ROWS($1:6)&gt;COUNT(Dong13),"",OFFSET(TH!E$1,SMALL(Dong13,ROWS($1:6)),))</f>
        <v/>
      </c>
      <c r="D21" s="758" t="str">
        <f ca="1">IF(ROWS($1:6)&gt;COUNT(Dong13),"",OFFSET(TH!F$1,SMALL(Dong13,ROWS($1:6)),))</f>
        <v/>
      </c>
      <c r="E21" s="757" t="str">
        <f ca="1">IF(ROWS($1:6)&gt;COUNT(Dong13),"",OFFSET(TH!M$1,SMALL(Dong13,ROWS($1:6)),))</f>
        <v/>
      </c>
      <c r="F21" s="855" t="str">
        <f ca="1">IF(ROWS($1:6)&gt;COUNT(Dong13),"",OFFSET(TH!K$1,SMALL(Dong13,ROWS($1:6)),))</f>
        <v/>
      </c>
      <c r="G21" s="759">
        <f t="shared" ca="1" si="0"/>
        <v>0</v>
      </c>
      <c r="H21" s="759">
        <f t="shared" ca="1" si="0"/>
        <v>0</v>
      </c>
      <c r="I21" s="759" t="str">
        <f t="shared" ca="1" si="0"/>
        <v/>
      </c>
      <c r="J21" s="759" t="str">
        <f t="shared" ca="1" si="0"/>
        <v/>
      </c>
      <c r="K21" s="759" t="str">
        <f t="shared" ca="1" si="1"/>
        <v/>
      </c>
      <c r="L21" s="759" t="str">
        <f t="shared" ca="1" si="1"/>
        <v/>
      </c>
    </row>
    <row r="22" spans="1:12" ht="21.75" customHeight="1">
      <c r="A22" s="757" t="str">
        <f ca="1">IF(ROWS($1:7)&gt;COUNT(Dong13),"",OFFSET(TH!C$1,SMALL(Dong13,ROWS($1:7)),))</f>
        <v/>
      </c>
      <c r="B22" s="757" t="str">
        <f ca="1">IF(ROWS($1:7)&gt;COUNT(Dong13),"",OFFSET(TH!D$1,SMALL(Dong13,ROWS($1:7)),))</f>
        <v/>
      </c>
      <c r="C22" s="757" t="str">
        <f ca="1">IF(ROWS($1:7)&gt;COUNT(Dong13),"",OFFSET(TH!E$1,SMALL(Dong13,ROWS($1:7)),))</f>
        <v/>
      </c>
      <c r="D22" s="758" t="str">
        <f ca="1">IF(ROWS($1:7)&gt;COUNT(Dong13),"",OFFSET(TH!F$1,SMALL(Dong13,ROWS($1:7)),))</f>
        <v/>
      </c>
      <c r="E22" s="757" t="str">
        <f ca="1">IF(ROWS($1:7)&gt;COUNT(Dong13),"",OFFSET(TH!M$1,SMALL(Dong13,ROWS($1:7)),))</f>
        <v/>
      </c>
      <c r="F22" s="855" t="str">
        <f ca="1">IF(ROWS($1:7)&gt;COUNT(Dong13),"",OFFSET(TH!K$1,SMALL(Dong13,ROWS($1:7)),))</f>
        <v/>
      </c>
      <c r="G22" s="759">
        <f t="shared" ca="1" si="0"/>
        <v>0</v>
      </c>
      <c r="H22" s="759">
        <f t="shared" ca="1" si="0"/>
        <v>0</v>
      </c>
      <c r="I22" s="759" t="str">
        <f t="shared" ca="1" si="0"/>
        <v/>
      </c>
      <c r="J22" s="759" t="str">
        <f t="shared" ca="1" si="0"/>
        <v/>
      </c>
      <c r="K22" s="759" t="str">
        <f t="shared" ca="1" si="1"/>
        <v/>
      </c>
      <c r="L22" s="759" t="str">
        <f t="shared" ca="1" si="1"/>
        <v/>
      </c>
    </row>
    <row r="23" spans="1:12" ht="21.75" customHeight="1">
      <c r="A23" s="757" t="str">
        <f ca="1">IF(ROWS($1:8)&gt;COUNT(Dong13),"",OFFSET(TH!C$1,SMALL(Dong13,ROWS($1:8)),))</f>
        <v/>
      </c>
      <c r="B23" s="757" t="str">
        <f ca="1">IF(ROWS($1:8)&gt;COUNT(Dong13),"",OFFSET(TH!D$1,SMALL(Dong13,ROWS($1:8)),))</f>
        <v/>
      </c>
      <c r="C23" s="757" t="str">
        <f ca="1">IF(ROWS($1:8)&gt;COUNT(Dong13),"",OFFSET(TH!E$1,SMALL(Dong13,ROWS($1:8)),))</f>
        <v/>
      </c>
      <c r="D23" s="758" t="str">
        <f ca="1">IF(ROWS($1:8)&gt;COUNT(Dong13),"",OFFSET(TH!F$1,SMALL(Dong13,ROWS($1:8)),))</f>
        <v/>
      </c>
      <c r="E23" s="757" t="str">
        <f ca="1">IF(ROWS($1:8)&gt;COUNT(Dong13),"",OFFSET(TH!M$1,SMALL(Dong13,ROWS($1:8)),))</f>
        <v/>
      </c>
      <c r="F23" s="855" t="str">
        <f ca="1">IF(ROWS($1:8)&gt;COUNT(Dong13),"",OFFSET(TH!K$1,SMALL(Dong13,ROWS($1:8)),))</f>
        <v/>
      </c>
      <c r="G23" s="759">
        <f t="shared" ca="1" si="0"/>
        <v>0</v>
      </c>
      <c r="H23" s="759">
        <f t="shared" ca="1" si="0"/>
        <v>0</v>
      </c>
      <c r="I23" s="759" t="str">
        <f t="shared" ca="1" si="0"/>
        <v/>
      </c>
      <c r="J23" s="759" t="str">
        <f t="shared" ca="1" si="0"/>
        <v/>
      </c>
      <c r="K23" s="759" t="str">
        <f t="shared" ca="1" si="1"/>
        <v/>
      </c>
      <c r="L23" s="759" t="str">
        <f t="shared" ca="1" si="1"/>
        <v/>
      </c>
    </row>
    <row r="24" spans="1:12" ht="21.75" customHeight="1">
      <c r="A24" s="757" t="str">
        <f ca="1">IF(ROWS($1:9)&gt;COUNT(Dong13),"",OFFSET(TH!C$1,SMALL(Dong13,ROWS($1:9)),))</f>
        <v/>
      </c>
      <c r="B24" s="757" t="str">
        <f ca="1">IF(ROWS($1:9)&gt;COUNT(Dong13),"",OFFSET(TH!D$1,SMALL(Dong13,ROWS($1:9)),))</f>
        <v/>
      </c>
      <c r="C24" s="757" t="str">
        <f ca="1">IF(ROWS($1:9)&gt;COUNT(Dong13),"",OFFSET(TH!E$1,SMALL(Dong13,ROWS($1:9)),))</f>
        <v/>
      </c>
      <c r="D24" s="758" t="str">
        <f ca="1">IF(ROWS($1:9)&gt;COUNT(Dong13),"",OFFSET(TH!F$1,SMALL(Dong13,ROWS($1:9)),))</f>
        <v/>
      </c>
      <c r="E24" s="757" t="str">
        <f ca="1">IF(ROWS($1:9)&gt;COUNT(Dong13),"",OFFSET(TH!M$1,SMALL(Dong13,ROWS($1:9)),))</f>
        <v/>
      </c>
      <c r="F24" s="855" t="str">
        <f ca="1">IF(ROWS($1:9)&gt;COUNT(Dong13),"",OFFSET(TH!K$1,SMALL(Dong13,ROWS($1:9)),))</f>
        <v/>
      </c>
      <c r="G24" s="759">
        <f t="shared" ca="1" si="0"/>
        <v>0</v>
      </c>
      <c r="H24" s="759">
        <f t="shared" ca="1" si="0"/>
        <v>0</v>
      </c>
      <c r="I24" s="759" t="str">
        <f t="shared" ca="1" si="0"/>
        <v/>
      </c>
      <c r="J24" s="759" t="str">
        <f t="shared" ca="1" si="0"/>
        <v/>
      </c>
      <c r="K24" s="759" t="str">
        <f t="shared" ca="1" si="1"/>
        <v/>
      </c>
      <c r="L24" s="759" t="str">
        <f t="shared" ca="1" si="1"/>
        <v/>
      </c>
    </row>
    <row r="25" spans="1:12" ht="21.75" customHeight="1">
      <c r="A25" s="757" t="str">
        <f ca="1">IF(ROWS($1:10)&gt;COUNT(Dong13),"",OFFSET(TH!C$1,SMALL(Dong13,ROWS($1:10)),))</f>
        <v/>
      </c>
      <c r="B25" s="757" t="str">
        <f ca="1">IF(ROWS($1:10)&gt;COUNT(Dong13),"",OFFSET(TH!D$1,SMALL(Dong13,ROWS($1:10)),))</f>
        <v/>
      </c>
      <c r="C25" s="757" t="str">
        <f ca="1">IF(ROWS($1:10)&gt;COUNT(Dong13),"",OFFSET(TH!E$1,SMALL(Dong13,ROWS($1:10)),))</f>
        <v/>
      </c>
      <c r="D25" s="758" t="str">
        <f ca="1">IF(ROWS($1:10)&gt;COUNT(Dong13),"",OFFSET(TH!F$1,SMALL(Dong13,ROWS($1:10)),))</f>
        <v/>
      </c>
      <c r="E25" s="757" t="str">
        <f ca="1">IF(ROWS($1:10)&gt;COUNT(Dong13),"",OFFSET(TH!M$1,SMALL(Dong13,ROWS($1:10)),))</f>
        <v/>
      </c>
      <c r="F25" s="855" t="str">
        <f ca="1">IF(ROWS($1:10)&gt;COUNT(Dong13),"",OFFSET(TH!K$1,SMALL(Dong13,ROWS($1:10)),))</f>
        <v/>
      </c>
      <c r="G25" s="759">
        <f t="shared" ca="1" si="0"/>
        <v>0</v>
      </c>
      <c r="H25" s="759">
        <f t="shared" ca="1" si="0"/>
        <v>0</v>
      </c>
      <c r="I25" s="759" t="str">
        <f t="shared" ca="1" si="0"/>
        <v/>
      </c>
      <c r="J25" s="759" t="str">
        <f t="shared" ca="1" si="0"/>
        <v/>
      </c>
      <c r="K25" s="759" t="str">
        <f t="shared" ca="1" si="1"/>
        <v/>
      </c>
      <c r="L25" s="759" t="str">
        <f t="shared" ca="1" si="1"/>
        <v/>
      </c>
    </row>
    <row r="26" spans="1:12" ht="21.75" customHeight="1">
      <c r="A26" s="757"/>
      <c r="B26" s="760"/>
      <c r="C26" s="757"/>
      <c r="D26" s="761"/>
      <c r="E26" s="762"/>
      <c r="F26" s="763"/>
      <c r="G26" s="763"/>
      <c r="H26" s="763"/>
      <c r="I26" s="763"/>
      <c r="J26" s="763"/>
      <c r="K26" s="763"/>
      <c r="L26" s="763"/>
    </row>
    <row r="27" spans="1:12" ht="21.75" customHeight="1">
      <c r="A27" s="757"/>
      <c r="B27" s="760"/>
      <c r="C27" s="757"/>
      <c r="D27" s="755" t="s">
        <v>135</v>
      </c>
      <c r="E27" s="754" t="s">
        <v>19</v>
      </c>
      <c r="F27" s="756">
        <f t="shared" ref="F27:L27" ca="1" si="2">SUM(F15:F26)</f>
        <v>0</v>
      </c>
      <c r="G27" s="756">
        <f t="shared" ca="1" si="2"/>
        <v>0</v>
      </c>
      <c r="H27" s="756">
        <f t="shared" ca="1" si="2"/>
        <v>0</v>
      </c>
      <c r="I27" s="756">
        <f t="shared" ca="1" si="2"/>
        <v>0</v>
      </c>
      <c r="J27" s="756">
        <f t="shared" ca="1" si="2"/>
        <v>0</v>
      </c>
      <c r="K27" s="756">
        <f t="shared" ca="1" si="2"/>
        <v>0</v>
      </c>
      <c r="L27" s="756">
        <f t="shared" ca="1" si="2"/>
        <v>0</v>
      </c>
    </row>
    <row r="28" spans="1:12" ht="21.75" customHeight="1">
      <c r="A28" s="764"/>
      <c r="B28" s="762"/>
      <c r="C28" s="764"/>
      <c r="D28" s="765" t="s">
        <v>547</v>
      </c>
      <c r="E28" s="760"/>
      <c r="F28" s="756">
        <f ca="1">SUM(G28:L28)</f>
        <v>0</v>
      </c>
      <c r="G28" s="766">
        <f t="shared" ref="G28:L28" ca="1" si="3">G27</f>
        <v>0</v>
      </c>
      <c r="H28" s="766">
        <f t="shared" ca="1" si="3"/>
        <v>0</v>
      </c>
      <c r="I28" s="766">
        <f t="shared" ca="1" si="3"/>
        <v>0</v>
      </c>
      <c r="J28" s="766">
        <f t="shared" ca="1" si="3"/>
        <v>0</v>
      </c>
      <c r="K28" s="766">
        <f t="shared" ca="1" si="3"/>
        <v>0</v>
      </c>
      <c r="L28" s="766">
        <f t="shared" ca="1" si="3"/>
        <v>0</v>
      </c>
    </row>
    <row r="29" spans="1:12" ht="21.75" customHeight="1">
      <c r="A29" s="767"/>
      <c r="B29" s="767"/>
      <c r="C29" s="767"/>
      <c r="D29" s="768" t="s">
        <v>10</v>
      </c>
      <c r="E29" s="767" t="s">
        <v>19</v>
      </c>
      <c r="F29" s="769">
        <f t="shared" ref="F29:L29" ca="1" si="4">F15+F27-F28</f>
        <v>0</v>
      </c>
      <c r="G29" s="769">
        <f t="shared" ca="1" si="4"/>
        <v>0</v>
      </c>
      <c r="H29" s="769">
        <f t="shared" ca="1" si="4"/>
        <v>0</v>
      </c>
      <c r="I29" s="769">
        <f t="shared" ca="1" si="4"/>
        <v>0</v>
      </c>
      <c r="J29" s="769">
        <f t="shared" ca="1" si="4"/>
        <v>0</v>
      </c>
      <c r="K29" s="769">
        <f t="shared" ca="1" si="4"/>
        <v>0</v>
      </c>
      <c r="L29" s="769">
        <f t="shared" ca="1" si="4"/>
        <v>0</v>
      </c>
    </row>
    <row r="31" spans="1:12">
      <c r="B31" s="770"/>
      <c r="C31" s="750" t="s">
        <v>528</v>
      </c>
    </row>
    <row r="32" spans="1:12">
      <c r="C32" s="750" t="e">
        <f ca="1">"- Ngày mở sổ: "&amp;"01/"&amp;MONTH(A16)&amp;"/"&amp;YEAR(A16)</f>
        <v>#VALUE!</v>
      </c>
    </row>
    <row r="33" spans="2:12">
      <c r="E33" s="749"/>
      <c r="F33" s="749"/>
      <c r="G33" s="749"/>
      <c r="H33" s="749"/>
      <c r="I33" s="749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49"/>
      <c r="C34" s="844" t="s">
        <v>11</v>
      </c>
      <c r="D34" s="749"/>
      <c r="E34" s="749"/>
      <c r="F34" s="749"/>
      <c r="G34" s="749"/>
      <c r="H34" s="749"/>
      <c r="I34" s="749"/>
      <c r="J34" s="1073" t="s">
        <v>12</v>
      </c>
      <c r="K34" s="1073"/>
      <c r="L34" s="1073"/>
    </row>
    <row r="35" spans="2:12">
      <c r="B35" s="749"/>
      <c r="C35" s="844" t="s">
        <v>13</v>
      </c>
      <c r="D35" s="749"/>
      <c r="E35" s="749"/>
      <c r="F35" s="749"/>
      <c r="G35" s="749"/>
      <c r="H35" s="749"/>
      <c r="I35" s="749"/>
      <c r="J35" s="1115" t="s">
        <v>13</v>
      </c>
      <c r="K35" s="1115"/>
      <c r="L35" s="1115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53</vt:i4>
      </vt:variant>
    </vt:vector>
  </HeadingPairs>
  <TitlesOfParts>
    <vt:vector size="7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2017-01-03T02:00:36Z</cp:lastPrinted>
  <dcterms:created xsi:type="dcterms:W3CDTF">1996-10-14T23:33:28Z</dcterms:created>
  <dcterms:modified xsi:type="dcterms:W3CDTF">2017-01-18T05:02:04Z</dcterms:modified>
</cp:coreProperties>
</file>